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vgsnl.sharepoint.com/financieelmanagement/01. Teamzaken Advies Financieel/Sander/Taakbeleid - CAO/Berekeningsmodel wtf/"/>
    </mc:Choice>
  </mc:AlternateContent>
  <xr:revisionPtr revIDLastSave="498" documentId="8_{4D6FA91B-0A34-4B81-A391-0E076CF8FE24}" xr6:coauthVersionLast="47" xr6:coauthVersionMax="47" xr10:uidLastSave="{53F6C85C-1AC0-4476-8D6E-AB3904C43F4D}"/>
  <bookViews>
    <workbookView xWindow="-28935" yWindow="-135" windowWidth="29070" windowHeight="15750" tabRatio="767" xr2:uid="{00000000-000D-0000-FFFF-FFFF00000000}"/>
  </bookViews>
  <sheets>
    <sheet name="wtf OP, obv lesuren" sheetId="13" r:id="rId1"/>
    <sheet name="wtf OP, obv dagdelen onderbouw" sheetId="6" r:id="rId2"/>
    <sheet name="wtf OP, obv dagdelen bovenbouw" sheetId="14" r:id="rId3"/>
    <sheet name="wtf OOP" sheetId="9" r:id="rId4"/>
    <sheet name="wtf leerkracht huidig" sheetId="16" r:id="rId5"/>
    <sheet name="wtf OOP huidig" sheetId="15" r:id="rId6"/>
  </sheets>
  <definedNames>
    <definedName name="_xlnm.Print_Area" localSheetId="4">'wtf leerkracht huidig'!$A$1:$I$136</definedName>
    <definedName name="_xlnm.Print_Area" localSheetId="0">'wtf OP, obv lesuren'!$A$1:$I$160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5" l="1"/>
  <c r="A36" i="16"/>
  <c r="A28" i="9"/>
  <c r="A38" i="14"/>
  <c r="A38" i="6"/>
  <c r="A33" i="13"/>
  <c r="F49" i="15"/>
  <c r="F59" i="16"/>
  <c r="F64" i="14"/>
  <c r="D2" i="16" l="1"/>
  <c r="D2" i="9"/>
  <c r="C2" i="14"/>
  <c r="C2" i="6"/>
  <c r="Q43" i="15"/>
  <c r="Q41" i="15"/>
  <c r="Q40" i="15"/>
  <c r="Q39" i="15"/>
  <c r="R59" i="16"/>
  <c r="R55" i="16"/>
  <c r="Q37" i="16" s="1"/>
  <c r="R53" i="16"/>
  <c r="R51" i="16"/>
  <c r="R50" i="16"/>
  <c r="R49" i="16"/>
  <c r="A35" i="16"/>
  <c r="G52" i="16"/>
  <c r="E52" i="16"/>
  <c r="Q46" i="16"/>
  <c r="C44" i="16"/>
  <c r="C52" i="16" s="1"/>
  <c r="Q38" i="16"/>
  <c r="G37" i="16"/>
  <c r="F37" i="16"/>
  <c r="E37" i="16"/>
  <c r="C37" i="16"/>
  <c r="Q36" i="16"/>
  <c r="G36" i="16"/>
  <c r="F36" i="16"/>
  <c r="E36" i="16"/>
  <c r="D36" i="16"/>
  <c r="Q39" i="16"/>
  <c r="S35" i="16"/>
  <c r="G35" i="16"/>
  <c r="F35" i="16"/>
  <c r="E35" i="16"/>
  <c r="E34" i="16"/>
  <c r="E33" i="16"/>
  <c r="E32" i="16"/>
  <c r="R29" i="16"/>
  <c r="R28" i="16"/>
  <c r="R27" i="16"/>
  <c r="R25" i="16"/>
  <c r="R26" i="16" s="1"/>
  <c r="Q25" i="16"/>
  <c r="D25" i="16"/>
  <c r="C25" i="16"/>
  <c r="E12" i="16"/>
  <c r="B12" i="16"/>
  <c r="E10" i="16"/>
  <c r="R37" i="16" l="1"/>
  <c r="R56" i="16"/>
  <c r="S56" i="16"/>
  <c r="R57" i="16" s="1"/>
  <c r="C50" i="16" s="1"/>
  <c r="Q40" i="16" l="1"/>
  <c r="R61" i="16"/>
  <c r="C132" i="16"/>
  <c r="T55" i="16"/>
  <c r="C51" i="16"/>
  <c r="T56" i="16" s="1"/>
  <c r="C53" i="16" l="1"/>
  <c r="C133" i="16"/>
  <c r="T57" i="16" s="1"/>
  <c r="U55" i="16" s="1"/>
  <c r="E55" i="16"/>
  <c r="E56" i="16"/>
  <c r="S40" i="16"/>
  <c r="T40" i="16" s="1"/>
  <c r="S38" i="16"/>
  <c r="T38" i="16" s="1"/>
  <c r="S39" i="16"/>
  <c r="T39" i="16" s="1"/>
  <c r="G50" i="16" s="1"/>
  <c r="S36" i="16"/>
  <c r="T36" i="16" s="1"/>
  <c r="S37" i="16"/>
  <c r="T37" i="16" s="1"/>
  <c r="U56" i="16" l="1"/>
  <c r="U57" i="16"/>
  <c r="G53" i="16"/>
  <c r="F132" i="16" s="1"/>
  <c r="F133" i="16" s="1"/>
  <c r="Q49" i="15" l="1"/>
  <c r="R46" i="15"/>
  <c r="G40" i="15"/>
  <c r="E40" i="15"/>
  <c r="C38" i="15"/>
  <c r="P36" i="15"/>
  <c r="G35" i="15"/>
  <c r="F35" i="15"/>
  <c r="E35" i="15"/>
  <c r="C35" i="15"/>
  <c r="P34" i="15"/>
  <c r="G34" i="15"/>
  <c r="F34" i="15"/>
  <c r="E34" i="15"/>
  <c r="D34" i="15"/>
  <c r="P33" i="15"/>
  <c r="G33" i="15"/>
  <c r="F33" i="15"/>
  <c r="E33" i="15"/>
  <c r="P32" i="15"/>
  <c r="E32" i="15"/>
  <c r="E31" i="15"/>
  <c r="R30" i="15"/>
  <c r="E30" i="15"/>
  <c r="G26" i="15"/>
  <c r="C26" i="15"/>
  <c r="B26" i="15"/>
  <c r="Q24" i="15"/>
  <c r="Q20" i="15"/>
  <c r="Q21" i="15" s="1"/>
  <c r="A33" i="15" s="1"/>
  <c r="P20" i="15"/>
  <c r="E13" i="15"/>
  <c r="B13" i="15"/>
  <c r="E11" i="15"/>
  <c r="Q22" i="15" l="1"/>
  <c r="Q23" i="15"/>
  <c r="Q47" i="15"/>
  <c r="C39" i="15"/>
  <c r="Q32" i="15"/>
  <c r="C84" i="15" l="1"/>
  <c r="D45" i="15" s="1"/>
  <c r="P35" i="15"/>
  <c r="R35" i="15" s="1"/>
  <c r="S35" i="15" s="1"/>
  <c r="E43" i="15" l="1"/>
  <c r="C85" i="15"/>
  <c r="S47" i="15" s="1"/>
  <c r="T46" i="15" s="1"/>
  <c r="R31" i="15"/>
  <c r="S31" i="15" s="1"/>
  <c r="R33" i="15"/>
  <c r="S33" i="15" s="1"/>
  <c r="R34" i="15"/>
  <c r="S34" i="15" s="1"/>
  <c r="G38" i="15" s="1"/>
  <c r="G41" i="15" s="1"/>
  <c r="F82" i="15" s="1"/>
  <c r="F83" i="15" s="1"/>
  <c r="R32" i="15"/>
  <c r="S32" i="15" s="1"/>
  <c r="T47" i="15" l="1"/>
  <c r="T45" i="15"/>
  <c r="T58" i="14"/>
  <c r="T59" i="14" s="1"/>
  <c r="C54" i="14" s="1"/>
  <c r="G55" i="14"/>
  <c r="E55" i="14"/>
  <c r="C55" i="14"/>
  <c r="T54" i="14"/>
  <c r="T53" i="14"/>
  <c r="E53" i="14"/>
  <c r="C53" i="14"/>
  <c r="T52" i="14"/>
  <c r="S49" i="14"/>
  <c r="C47" i="14"/>
  <c r="R42" i="14"/>
  <c r="H40" i="14"/>
  <c r="G40" i="14"/>
  <c r="F40" i="14"/>
  <c r="D40" i="14"/>
  <c r="H39" i="14"/>
  <c r="G39" i="14"/>
  <c r="F39" i="14"/>
  <c r="D39" i="14"/>
  <c r="A39" i="14"/>
  <c r="E38" i="14"/>
  <c r="D38" i="14"/>
  <c r="C38" i="14"/>
  <c r="U37" i="14"/>
  <c r="H37" i="14"/>
  <c r="G37" i="14"/>
  <c r="F37" i="14"/>
  <c r="R36" i="14"/>
  <c r="E36" i="14"/>
  <c r="D35" i="14"/>
  <c r="D34" i="14"/>
  <c r="A34" i="14"/>
  <c r="T29" i="14"/>
  <c r="T28" i="14"/>
  <c r="H28" i="14"/>
  <c r="S41" i="14" s="1"/>
  <c r="T25" i="14"/>
  <c r="T26" i="14" s="1"/>
  <c r="T27" i="14" s="1"/>
  <c r="S25" i="14"/>
  <c r="H25" i="14"/>
  <c r="F25" i="14"/>
  <c r="C24" i="14"/>
  <c r="F24" i="14" s="1"/>
  <c r="G23" i="14"/>
  <c r="F23" i="14"/>
  <c r="S38" i="14" s="1"/>
  <c r="C23" i="14"/>
  <c r="B23" i="14"/>
  <c r="R18" i="14"/>
  <c r="H9" i="14"/>
  <c r="A1" i="14"/>
  <c r="R18" i="6"/>
  <c r="E53" i="6"/>
  <c r="T54" i="6"/>
  <c r="T52" i="6"/>
  <c r="S32" i="9" s="1"/>
  <c r="T48" i="13"/>
  <c r="T50" i="13"/>
  <c r="F47" i="13"/>
  <c r="F49" i="13"/>
  <c r="F31" i="13"/>
  <c r="T46" i="13"/>
  <c r="S36" i="9"/>
  <c r="S34" i="9"/>
  <c r="T53" i="6"/>
  <c r="S33" i="9" s="1"/>
  <c r="A1" i="6"/>
  <c r="T47" i="13"/>
  <c r="S22" i="9"/>
  <c r="R18" i="9"/>
  <c r="S18" i="9"/>
  <c r="S19" i="9" s="1"/>
  <c r="S20" i="9" s="1"/>
  <c r="T29" i="6"/>
  <c r="T25" i="6"/>
  <c r="T26" i="6" s="1"/>
  <c r="T27" i="6" s="1"/>
  <c r="S25" i="6"/>
  <c r="T24" i="13"/>
  <c r="S20" i="13"/>
  <c r="A37" i="14" l="1"/>
  <c r="A1" i="16"/>
  <c r="A1" i="15"/>
  <c r="A1" i="9"/>
  <c r="S40" i="14"/>
  <c r="C56" i="14"/>
  <c r="H30" i="14"/>
  <c r="S42" i="14"/>
  <c r="T60" i="14"/>
  <c r="T63" i="14"/>
  <c r="S64" i="14"/>
  <c r="S21" i="9"/>
  <c r="T28" i="6"/>
  <c r="T20" i="13"/>
  <c r="C102" i="14" l="1"/>
  <c r="S43" i="14"/>
  <c r="U43" i="14" s="1"/>
  <c r="V43" i="14" s="1"/>
  <c r="T40" i="14"/>
  <c r="T21" i="13"/>
  <c r="A32" i="13" s="1"/>
  <c r="A34" i="6"/>
  <c r="U38" i="14" l="1"/>
  <c r="V38" i="14" s="1"/>
  <c r="U40" i="14"/>
  <c r="V40" i="14" s="1"/>
  <c r="U42" i="14"/>
  <c r="V42" i="14" s="1"/>
  <c r="G53" i="14" s="1"/>
  <c r="G56" i="14" s="1"/>
  <c r="F100" i="14" s="1"/>
  <c r="F101" i="14" s="1"/>
  <c r="U41" i="14"/>
  <c r="V41" i="14" s="1"/>
  <c r="C103" i="14"/>
  <c r="E58" i="14"/>
  <c r="D60" i="14"/>
  <c r="T22" i="13"/>
  <c r="T23" i="13"/>
  <c r="H9" i="6"/>
  <c r="F13" i="13"/>
  <c r="S59" i="13"/>
  <c r="S58" i="13"/>
  <c r="H49" i="13"/>
  <c r="F57" i="13" s="1"/>
  <c r="V46" i="13"/>
  <c r="C41" i="13"/>
  <c r="C49" i="13" s="1"/>
  <c r="H34" i="13"/>
  <c r="G34" i="13"/>
  <c r="F34" i="13"/>
  <c r="D34" i="13"/>
  <c r="U32" i="13"/>
  <c r="H32" i="13"/>
  <c r="G32" i="13"/>
  <c r="F32" i="13"/>
  <c r="R31" i="13"/>
  <c r="F30" i="13"/>
  <c r="F29" i="13"/>
  <c r="F20" i="13"/>
  <c r="B20" i="13"/>
  <c r="D19" i="13"/>
  <c r="C19" i="13"/>
  <c r="Q55" i="14" l="1"/>
  <c r="P42" i="14"/>
  <c r="H23" i="13"/>
  <c r="D33" i="13" s="1"/>
  <c r="S53" i="13"/>
  <c r="S34" i="13" s="1"/>
  <c r="S33" i="13"/>
  <c r="H20" i="13" l="1"/>
  <c r="T34" i="13"/>
  <c r="S54" i="13"/>
  <c r="T54" i="13" s="1"/>
  <c r="S55" i="13" s="1"/>
  <c r="E36" i="9" l="1"/>
  <c r="Q1" i="9"/>
  <c r="S16" i="9" s="1"/>
  <c r="G36" i="9" l="1"/>
  <c r="E36" i="6" l="1"/>
  <c r="F25" i="6" l="1"/>
  <c r="E20" i="9"/>
  <c r="F27" i="9" l="1"/>
  <c r="E27" i="9" l="1"/>
  <c r="T28" i="9"/>
  <c r="T27" i="9"/>
  <c r="E35" i="9"/>
  <c r="G35" i="9" s="1"/>
  <c r="E43" i="9" s="1"/>
  <c r="G27" i="9"/>
  <c r="E26" i="9"/>
  <c r="E25" i="9"/>
  <c r="U28" i="9" l="1"/>
  <c r="A37" i="6"/>
  <c r="G39" i="6"/>
  <c r="G40" i="6"/>
  <c r="E55" i="6"/>
  <c r="A39" i="6"/>
  <c r="H37" i="6"/>
  <c r="G37" i="6"/>
  <c r="F37" i="6"/>
  <c r="D39" i="6"/>
  <c r="D38" i="6"/>
  <c r="U37" i="6" l="1"/>
  <c r="D40" i="6"/>
  <c r="R42" i="6"/>
  <c r="D35" i="6"/>
  <c r="C24" i="6"/>
  <c r="G55" i="6" l="1"/>
  <c r="F64" i="6" s="1"/>
  <c r="G14" i="9" l="1"/>
  <c r="G15" i="9"/>
  <c r="G16" i="9"/>
  <c r="G17" i="9"/>
  <c r="G13" i="9"/>
  <c r="F18" i="9"/>
  <c r="E18" i="9"/>
  <c r="Q26" i="9"/>
  <c r="A27" i="9"/>
  <c r="C18" i="9"/>
  <c r="B18" i="9"/>
  <c r="D34" i="6"/>
  <c r="G18" i="9" l="1"/>
  <c r="D20" i="9" s="1"/>
  <c r="R41" i="9" l="1"/>
  <c r="R31" i="9" s="1"/>
  <c r="G33" i="9"/>
  <c r="E74" i="9" s="1"/>
  <c r="E75" i="9" s="1"/>
  <c r="D22" i="9"/>
  <c r="D28" i="9"/>
  <c r="R24" i="9"/>
  <c r="G20" i="9"/>
  <c r="R42" i="9"/>
  <c r="R29" i="9"/>
  <c r="R30" i="9"/>
  <c r="S40" i="9"/>
  <c r="T31" i="9" l="1"/>
  <c r="U31" i="9" s="1"/>
  <c r="C76" i="9" s="1"/>
  <c r="G23" i="6"/>
  <c r="H28" i="6" s="1"/>
  <c r="C23" i="6"/>
  <c r="H30" i="6" l="1"/>
  <c r="C38" i="6"/>
  <c r="H25" i="6"/>
  <c r="S64" i="6"/>
  <c r="T30" i="9"/>
  <c r="T29" i="9"/>
  <c r="E28" i="9" s="1"/>
  <c r="G28" i="9"/>
  <c r="S41" i="6"/>
  <c r="C47" i="6"/>
  <c r="T42" i="9" l="1"/>
  <c r="U30" i="9"/>
  <c r="F28" i="9"/>
  <c r="U29" i="9"/>
  <c r="C55" i="6"/>
  <c r="T63" i="6"/>
  <c r="R36" i="6"/>
  <c r="S49" i="6"/>
  <c r="F23" i="6"/>
  <c r="B23" i="6"/>
  <c r="G37" i="9" l="1"/>
  <c r="T58" i="6"/>
  <c r="T59" i="6" s="1"/>
  <c r="T60" i="6" s="1"/>
  <c r="S38" i="6"/>
  <c r="S40" i="6" s="1"/>
  <c r="T40" i="6" s="1"/>
  <c r="S42" i="6"/>
  <c r="S43" i="6" l="1"/>
  <c r="U40" i="6" l="1"/>
  <c r="F39" i="6" s="1"/>
  <c r="U38" i="6"/>
  <c r="V38" i="6" s="1"/>
  <c r="U41" i="6"/>
  <c r="V41" i="6" s="1"/>
  <c r="C53" i="6"/>
  <c r="F24" i="6" s="1"/>
  <c r="U43" i="6"/>
  <c r="V43" i="6" s="1"/>
  <c r="U42" i="6"/>
  <c r="V42" i="6" s="1"/>
  <c r="G53" i="6" s="1"/>
  <c r="E38" i="6"/>
  <c r="H40" i="6"/>
  <c r="F40" i="6"/>
  <c r="V40" i="6" l="1"/>
  <c r="C54" i="6" s="1"/>
  <c r="C56" i="6" s="1"/>
  <c r="H39" i="6"/>
  <c r="C102" i="6"/>
  <c r="D60" i="6" s="1"/>
  <c r="G56" i="6" l="1"/>
  <c r="F100" i="6" s="1"/>
  <c r="F101" i="6" s="1"/>
  <c r="E58" i="6"/>
  <c r="C103" i="6"/>
  <c r="P42" i="6" l="1"/>
  <c r="Q55" i="6"/>
  <c r="D40" i="9"/>
  <c r="C77" i="9" l="1"/>
  <c r="E38" i="9"/>
  <c r="S35" i="13" l="1"/>
  <c r="S36" i="13"/>
  <c r="U60" i="13"/>
  <c r="H25" i="13"/>
  <c r="C48" i="13"/>
  <c r="U54" i="13" s="1"/>
  <c r="G33" i="13" s="1"/>
  <c r="V55" i="13"/>
  <c r="V53" i="13"/>
  <c r="V54" i="13"/>
  <c r="C157" i="13"/>
  <c r="C158" i="13" s="1"/>
  <c r="U55" i="13" s="1"/>
  <c r="H33" i="13" s="1"/>
  <c r="C47" i="13"/>
  <c r="U53" i="13" s="1"/>
  <c r="F33" i="13" s="1"/>
  <c r="S37" i="13"/>
  <c r="U36" i="13" l="1"/>
  <c r="V36" i="13" s="1"/>
  <c r="H47" i="13" s="1"/>
  <c r="H50" i="13" s="1"/>
  <c r="D20" i="13"/>
  <c r="U34" i="13"/>
  <c r="V34" i="13" s="1"/>
  <c r="F52" i="13"/>
  <c r="C50" i="13"/>
  <c r="U37" i="13"/>
  <c r="V37" i="13" s="1"/>
  <c r="E54" i="13"/>
  <c r="U33" i="13"/>
  <c r="V33" i="13" s="1"/>
  <c r="U35" i="13"/>
  <c r="V35" i="13" s="1"/>
  <c r="F157" i="13" l="1"/>
  <c r="F158" i="13" s="1"/>
  <c r="Q44" i="13" s="1"/>
</calcChain>
</file>

<file path=xl/sharedStrings.xml><?xml version="1.0" encoding="utf-8"?>
<sst xmlns="http://schemas.openxmlformats.org/spreadsheetml/2006/main" count="1060" uniqueCount="132">
  <si>
    <t>Normjaartaak OP schooljaar</t>
  </si>
  <si>
    <t>Schoolgegevens</t>
  </si>
  <si>
    <t>Persoonlijke gegevens</t>
  </si>
  <si>
    <t>School:</t>
  </si>
  <si>
    <t>Naam:</t>
  </si>
  <si>
    <t>Plaats</t>
  </si>
  <si>
    <t>Groep:</t>
  </si>
  <si>
    <t>Datum:</t>
  </si>
  <si>
    <r>
      <t xml:space="preserve">Gemiddeld aantal </t>
    </r>
    <r>
      <rPr>
        <u/>
        <sz val="10"/>
        <color theme="1"/>
        <rFont val="Tahoma"/>
        <family val="2"/>
      </rPr>
      <t>les</t>
    </r>
    <r>
      <rPr>
        <sz val="10"/>
        <color theme="1"/>
        <rFont val="Tahoma"/>
        <family val="2"/>
      </rPr>
      <t>weken</t>
    </r>
  </si>
  <si>
    <t>Percentage voor- en nawerk</t>
  </si>
  <si>
    <t>Toelichting</t>
  </si>
  <si>
    <t>Binnen het basismodel wordt vastgehouden aan de maximale lessentaak van 940 uur, naar rato van de werktijdfactor. Dit betekent dat bij een bepaald aantal lesuren een minimale werktijdfactor hoort. Deze werktijdtijdsfactor wordt automatisch berekend in dit model.</t>
  </si>
  <si>
    <t>Lesuren per week</t>
  </si>
  <si>
    <t>Schoolrooster</t>
  </si>
  <si>
    <t>Werknemer</t>
  </si>
  <si>
    <t>Maandag</t>
  </si>
  <si>
    <t>Dinsdag</t>
  </si>
  <si>
    <t>Woensdag</t>
  </si>
  <si>
    <t>Naast het standaard aantal werkuren is het mogelijk dat een werknemer incidenteel extra moet werken bovenop de jaartaak. Dit kunnen bv. lesuren voor vervanging zijn of extra taakuren zoals de aanwezigheid voor een parttimer bij ouderavonden. Deze uren kunnen worden ingevuld in regel 23.</t>
  </si>
  <si>
    <t>Donderdag</t>
  </si>
  <si>
    <t>Vrijdag</t>
  </si>
  <si>
    <t>Totaal</t>
  </si>
  <si>
    <t>Extra uren per jaar bovenop de jaartaak</t>
  </si>
  <si>
    <t>Tot slot kunnen er extra uren toegekend worden voor taken die niet binnen de huidige werktijdfactor uitgevoerd kunnen worden. Regel 24 geeft de mogelijkheid hier extra uren op jaarbasis voor uit te keren.</t>
  </si>
  <si>
    <t>Lesgevende uren (excl. voor- en nawerk)</t>
  </si>
  <si>
    <t>Werktijdfactor:</t>
  </si>
  <si>
    <t>Extra taakuren (op jaarbasis)</t>
  </si>
  <si>
    <t>Werktijdfactor numeriek:</t>
  </si>
  <si>
    <t>Werknemer specifiek</t>
  </si>
  <si>
    <r>
      <t xml:space="preserve">Bij </t>
    </r>
    <r>
      <rPr>
        <b/>
        <sz val="10"/>
        <color theme="1"/>
        <rFont val="Tahoma"/>
        <family val="2"/>
      </rPr>
      <t>vrij geroosterde</t>
    </r>
    <r>
      <rPr>
        <sz val="10"/>
        <color theme="1"/>
        <rFont val="Tahoma"/>
        <family val="2"/>
      </rPr>
      <t xml:space="preserve"> uren wordt gevraagd naar het aantal te compenseren lesuren op jaarbasis. Voorheen de zogenaamde compensatieverlofuren.</t>
    </r>
  </si>
  <si>
    <t>verdeling</t>
  </si>
  <si>
    <t>Vrij geroosterde lesuren</t>
  </si>
  <si>
    <t>voor/na</t>
  </si>
  <si>
    <t>Ouderschapsverlof</t>
  </si>
  <si>
    <t>Geboortedatum</t>
  </si>
  <si>
    <t>lesgebonden/behandeltaken</t>
  </si>
  <si>
    <t>overige taken</t>
  </si>
  <si>
    <t>Extra voor- en nawerk per jaar in verband met.. (uren op jaarbasis)</t>
  </si>
  <si>
    <t>.. aantal zorgleerlingen</t>
  </si>
  <si>
    <t>Het is mogelijk dat een bepaalde leerkracht extra ruimte krijgt in verband met bijzondere omstandigheden in de klas. Hiernaast is ruimte gereserveerd om deze uren in te vullen. Dit gaat ten koste van nog bestaande uren voor resttaken en worden verrekend onder de lesgebonden uren.</t>
  </si>
  <si>
    <t>.. groepsgrootte</t>
  </si>
  <si>
    <t>.. startende leerkracht</t>
  </si>
  <si>
    <t>.. anders</t>
  </si>
  <si>
    <t>TOTAALOVERZICHT verdeling werkzaamheden</t>
  </si>
  <si>
    <t>Lesgebonden uren</t>
  </si>
  <si>
    <t>Niet-lesgebonden uren</t>
  </si>
  <si>
    <t>Overgangsregeling 52+</t>
  </si>
  <si>
    <t>Lesuren op jaarbasis</t>
  </si>
  <si>
    <t>Overgangsregeling 56+</t>
  </si>
  <si>
    <t>Voor- en nawerk</t>
  </si>
  <si>
    <t>Basis en bijzonder budget</t>
  </si>
  <si>
    <t>Extra voor- en nawerk</t>
  </si>
  <si>
    <t>Totaal lesgebonden uren</t>
  </si>
  <si>
    <t>Enkel basis budget</t>
  </si>
  <si>
    <t>Taakuren buiten het voor- en nawerk op jaarbasis</t>
  </si>
  <si>
    <t>Onder de taakuren kunnen de uren aan overige taken verder uit gespecificeerd worden. Dit zijn dus de taken welke buiten het voor- en nawerk vallen. Wanneer blijkt dat het gewenst aantal taken niet binnen de huidige werktijdfactor past, zal er een foutmelding getoond worden. In dit geval moet het aantal extra taakuren van de werknemer (regel 24) worden aangepast.</t>
  </si>
  <si>
    <t>Ouderavonden</t>
  </si>
  <si>
    <t>(Team)Vergaderingen</t>
  </si>
  <si>
    <t>Teamscholing</t>
  </si>
  <si>
    <t>Project</t>
  </si>
  <si>
    <t>……</t>
  </si>
  <si>
    <t>Studieverlof</t>
  </si>
  <si>
    <t>Individuele scholing</t>
  </si>
  <si>
    <t>Peerreview</t>
  </si>
  <si>
    <t>Mobiliteit</t>
  </si>
  <si>
    <t>…..</t>
  </si>
  <si>
    <t>Resturen op jaarbasis</t>
  </si>
  <si>
    <t>Nog in te vullen</t>
  </si>
  <si>
    <t>Totaal taakuren</t>
  </si>
  <si>
    <t>Normjaartaak OP schooljaar:</t>
  </si>
  <si>
    <t>Opmerkingen:</t>
  </si>
  <si>
    <t>Het uitgangspunt van de nieuwe werktijdfactor is niet meer het aantal lesuren, maar het werkelijk aantal te werken uren. Daarom wordt in dit nieuwe model onderscheid gemaakt tussen het aantal lesuren en het aantal werkuren per dag.</t>
  </si>
  <si>
    <t>Standaard weekspreiding van lesuren (leerling) en werkuren (werknemer)</t>
  </si>
  <si>
    <t>STANDAARD SCHOOLROOSTER</t>
  </si>
  <si>
    <t>ROOSTER WERKNEMER</t>
  </si>
  <si>
    <t>Lesuren</t>
  </si>
  <si>
    <r>
      <rPr>
        <sz val="10"/>
        <color theme="1"/>
        <rFont val="Tahoma"/>
        <family val="2"/>
      </rPr>
      <t xml:space="preserve">Spreiding </t>
    </r>
    <r>
      <rPr>
        <u/>
        <sz val="10"/>
        <color theme="1"/>
        <rFont val="Tahoma"/>
        <family val="2"/>
      </rPr>
      <t>werk</t>
    </r>
    <r>
      <rPr>
        <sz val="10"/>
        <color theme="1"/>
        <rFont val="Tahoma"/>
        <family val="2"/>
      </rPr>
      <t>uren</t>
    </r>
  </si>
  <si>
    <r>
      <t>De eerste stap</t>
    </r>
    <r>
      <rPr>
        <sz val="10"/>
        <color theme="1"/>
        <rFont val="Tahoma"/>
        <family val="2"/>
      </rPr>
      <t xml:space="preserve"> is om het standaard schoolrooster in te vullen. Vul het aantal lesuren in voor een standaard lesweek en bepaal het aantal uren per dagdeel dat hierbij wordt gewerkt. </t>
    </r>
    <r>
      <rPr>
        <b/>
        <sz val="10"/>
        <color theme="1"/>
        <rFont val="Tahoma"/>
        <family val="2"/>
      </rPr>
      <t>De tweede stap</t>
    </r>
    <r>
      <rPr>
        <sz val="10"/>
        <color theme="1"/>
        <rFont val="Tahoma"/>
        <family val="2"/>
      </rPr>
      <t xml:space="preserve"> is om het rooster van de werknemer in te vullen. Vul het aantal lesuren in dat de werknemer les geeft in een standaard week en bepaal welke dagdelen hierbij gewerkt moet worden. Het is mogelijk af te wijken van het standaard schoolrooster in overleg met de werknemer. Wanneer een leerkracht een dag ambulant is, vult u geen lesuren in maar wel werkuren. Bij een O.O.P.'er vult u ook enkel werkuren in.</t>
    </r>
  </si>
  <si>
    <t>Ochtend</t>
  </si>
  <si>
    <t>Middag</t>
  </si>
  <si>
    <t>Lesgevende uren (ex. voor- en nawerk)</t>
  </si>
  <si>
    <t>Naast het standaard aantal werkuren is het mogelijk dat een werknemer incidenteel extra moet werken bovenop de jaartaak. Dit kunnen bv. lesuren voor vervanging zijn of extra taakuren zoals de aanwezigheid voor een parttimer bij ouderavonden.</t>
  </si>
  <si>
    <t>Extra taakuren</t>
  </si>
  <si>
    <r>
      <t xml:space="preserve">Een hoger percentage aan </t>
    </r>
    <r>
      <rPr>
        <b/>
        <sz val="10"/>
        <color theme="1"/>
        <rFont val="Tahoma"/>
        <family val="2"/>
      </rPr>
      <t>voor- en nawerk</t>
    </r>
    <r>
      <rPr>
        <sz val="10"/>
        <color theme="1"/>
        <rFont val="Tahoma"/>
        <family val="2"/>
      </rPr>
      <t xml:space="preserve"> leidt tot een lager aantal uren voor overige taken.</t>
    </r>
  </si>
  <si>
    <t>Onder de taakuren kunnen de uren aan overige taken verder uit gespecificeerd worden. Dit zijn dus de taken welke buiten het voor- en nawerk vallen. Wanneer blijkt dat het gewenst aantal taken niet binnen de huidige werktijdfactor past, zal er een foutmelding getoond worden. In dit geval moet het aantal werkuren van de werknemer worden aangepast.</t>
  </si>
  <si>
    <t>Normjaartaak OOP schooljaar</t>
  </si>
  <si>
    <t>Voor een werknemer die benoemd wordt in de categorie O.O.P. moet worden bepaald hoeveel uur per dag deze werknemer nodig is. Dit gaat nadrukkelijk om werkuren en staat los van de leerlinguren. Voor O.O.P.'ers geldt ook dat deze uren verdeeld moeten worden over maximaal 40 uur per week, naar rato van de werktijdfactor. Dit betekent dus ook dat een deel in de leerlingvakanties wordt gewerkt.</t>
  </si>
  <si>
    <t>Vaste werkdagen per week</t>
  </si>
  <si>
    <t>Variabele dagen per jaar</t>
  </si>
  <si>
    <t>Daguren</t>
  </si>
  <si>
    <t>aantal dagen</t>
  </si>
  <si>
    <t>Naast het standaard aantal werkuren is het mogelijk dat een werknemer incidenteel extra moet werken bovenop de jaartaak. Dit kunnen bijvoorbeeld extra dagen zijn bij vergaderingen of projecten. Hiervoor is de tweede tabel bedoeld waarin aangegeven kan worden hoeveel dagen in het jaar, bovenop de jaartaak, moet worden gewerkt.</t>
  </si>
  <si>
    <t>Leeftijd</t>
  </si>
  <si>
    <t>Uitvoering lesgebonden en/of behandeltaken</t>
  </si>
  <si>
    <t xml:space="preserve">Lesgebonden en/of behandeltaken zijn activiteiten met één of meerdere leerling(en) die voor die leerling(en) gelden als onderwijstijd. </t>
  </si>
  <si>
    <t>Specificatie op jaarbasis</t>
  </si>
  <si>
    <t>Niet-taakgebonden uren</t>
  </si>
  <si>
    <t>Onder de taakuren kunnen de uren verder uit gespecificeerd worden. Wanneer blijkt dat het gewenst aantal taken niet binnen de huidige werktijdfactor past, zal er een foutmelding getoond worden. In dit geval moeten er extra variabelen toegevoegd worden.</t>
  </si>
  <si>
    <t>Professionalisering en duurzame inzetbaarheid</t>
  </si>
  <si>
    <t>De leeftijd van de werknemer bepaalt hoeveel recht er is op uren aan Professionalisering en Duurzame Inzetbaarheid (PDI).</t>
  </si>
  <si>
    <t>De leeftijd van de werknemer bepaalt hoeveel recht er is op uren aan Professionalisering en Duurzame Inzetbaarheid (PDI). Wanneer de werknemer recht heeft op verlof moet bepaald worden hoe dit verlof wordt verdeeld over lesuren, voor- en nawerk en taakuren. Hiervoor geldt geen vaste verhouding.</t>
  </si>
  <si>
    <t>Invulling specifieke bestemmingsuren PDI</t>
  </si>
  <si>
    <t>Startende werknemer</t>
  </si>
  <si>
    <t>Normjaartaak OOP schooljaar:</t>
  </si>
  <si>
    <t>Huidige werktijdfactor</t>
  </si>
  <si>
    <t>De oude werktijdfactor van een werknemer blijft bestaan, maar wordt nu weergegeven in uren en minuten. Hiernaast kunt u de bestaande werktijdfactor invullen.</t>
  </si>
  <si>
    <r>
      <t xml:space="preserve">Gemiddeld aantal </t>
    </r>
    <r>
      <rPr>
        <u/>
        <sz val="10"/>
        <color theme="1"/>
        <rFont val="Tahoma"/>
        <family val="2"/>
      </rPr>
      <t>school</t>
    </r>
    <r>
      <rPr>
        <sz val="10"/>
        <color theme="1"/>
        <rFont val="Tahoma"/>
        <family val="2"/>
      </rPr>
      <t>weken</t>
    </r>
  </si>
  <si>
    <t>Uren per week</t>
  </si>
  <si>
    <t>Extra uren per jaar in verband met.. (jaarbasis)</t>
  </si>
  <si>
    <t>Ter informatie kunt u in de rode vlakken het les- of schoolrooster invullen wat op de school van toepassing is. Dit is enkel ter info. In de blauwe cellen kunnen de uren per dag ingevuld worden zoals toegepast bij de betreffende werknemer.</t>
  </si>
  <si>
    <t>Naast het standaard aantal werkuren is het mogelijk dat een werknemer incidenteel extra moet werken bovenop de jaartaak. Als dit verwerkt is in de werktijdfactor kan dit als uitsplitsing worden weergegeven onder de 'Extra uren per jaar'.</t>
  </si>
  <si>
    <r>
      <t xml:space="preserve">Bij </t>
    </r>
    <r>
      <rPr>
        <b/>
        <sz val="10"/>
        <color theme="1"/>
        <rFont val="Tahoma"/>
        <family val="2"/>
      </rPr>
      <t>vrij geroosterde</t>
    </r>
    <r>
      <rPr>
        <sz val="10"/>
        <color theme="1"/>
        <rFont val="Tahoma"/>
        <family val="2"/>
      </rPr>
      <t xml:space="preserve"> uren wordt gevraagd naar het aantal te compenseren uren op jaarbasis. Voorheen de zogenaamde compensatieverlofuren.</t>
    </r>
  </si>
  <si>
    <t>Vrij geroosterde uren</t>
  </si>
  <si>
    <t>Nee</t>
  </si>
  <si>
    <t>Extra uren per jaar</t>
  </si>
  <si>
    <t>Standaard werkzaamheden</t>
  </si>
  <si>
    <t>Onder de taakuren kunnen de uren  verder uit gespecificeerd worden. Wanneer blijkt dat het gewenst aantal taken niet binnen de huidige werktijdfactor past, zal er een foutmelding getoond worden. Dit betekent dus dat de werknemer te veel taken heeft. Hierdoor moet óf de werktijdfactor verhoogd worden, óf het aantal taken moet verminderd worden.</t>
  </si>
  <si>
    <t>Rest</t>
  </si>
  <si>
    <t>Professionalisering</t>
  </si>
  <si>
    <t>Duurzame inzetbaarheid</t>
  </si>
  <si>
    <t>Het percentage voor- en nawerk bepaalt mede het aantal lesgebonden uren. Een hoger opslagpercentage betekent een lager restant aan overige taken.</t>
  </si>
  <si>
    <t>In de rode vlakken hiernaast kan aangegeven worden wat het lesmodel is dat schoolbreed wordt aangehouden. Let hierbij op of het gaat om een onderbouw- of bovenbouwklas. In de blauwe vlakken hiernaast vult u de lesuren van de werknemer in. Dit bepaalt het aantal lesgebonden uren.</t>
  </si>
  <si>
    <t>Naast het standaard aantal werkuren is het mogelijk dat een werknemer incidenteel extra moet werken bovenop de jaartaak. Dit kunnen bv. lesuren voor vervanging zijn of extra taakuren zoals de aanwezigheid voor een parttimer bij ouderavonden. Deze uren kunnen ingevuld worden in regel 27.</t>
  </si>
  <si>
    <t>Lesuren per jaar bovenop de jaartaak</t>
  </si>
  <si>
    <t>Extra lesgevende uren (excl. voor- en nawerk)</t>
  </si>
  <si>
    <t>Extra voor- en nawerk per jaar in verband met.. (op jaarbasis)</t>
  </si>
  <si>
    <t>Onder de taakuren kunnen de uren aan overige taken verder uit gespecificeerd worden. Dit zijn dus de taken welke buiten het voor- en nawerk vallen. Wanneer blijkt dat het gewenst aantal taken niet binnen de huidige werktijdfactor past, zal er een foutmelding getoond worden. Dit betekent dus dat de werknemer te veel taken heeft. Hierdoor moet óf de werktijdfactor verhoogd worden, óf het aantal taken moet verminderd worden.</t>
  </si>
  <si>
    <t>Project X</t>
  </si>
  <si>
    <t>IB</t>
  </si>
  <si>
    <t>2026-2027</t>
  </si>
  <si>
    <t>Verlof</t>
  </si>
  <si>
    <t>Versie mei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</si>
</sst>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0.000"/>
    <numFmt numFmtId="165" formatCode="_ * #,##0_ ;_ * \-#,##0_ ;_ * &quot;-&quot;??_ ;_ @_ "/>
    <numFmt numFmtId="166" formatCode="0.0000"/>
    <numFmt numFmtId="167" formatCode="0.00000"/>
    <numFmt numFmtId="168" formatCode="_ * #,##0.0000_ ;_ * \-#,##0.0000_ ;_ * &quot;-&quot;??_ ;_ @_ "/>
    <numFmt numFmtId="169" formatCode="_ * #,##0.00000_ ;_ * \-#,##0.00000_ ;_ * &quot;-&quot;??_ ;_ @_ "/>
    <numFmt numFmtId="170" formatCode="_ * #,##0.0000_ ;_ * \-#,##0.0000_ ;_ * &quot;-&quot;????_ ;_ @_ "/>
  </numFmts>
  <fonts count="24" x14ac:knownFonts="1">
    <font>
      <sz val="10"/>
      <color theme="1"/>
      <name val="Tahoma"/>
      <family val="2"/>
    </font>
    <font>
      <b/>
      <sz val="10"/>
      <color theme="1"/>
      <name val="Tahoma"/>
      <family val="2"/>
    </font>
    <font>
      <i/>
      <sz val="10"/>
      <color theme="1"/>
      <name val="Tahoma"/>
      <family val="2"/>
    </font>
    <font>
      <b/>
      <i/>
      <sz val="10"/>
      <color theme="1"/>
      <name val="Tahoma"/>
      <family val="2"/>
    </font>
    <font>
      <u/>
      <sz val="10"/>
      <color theme="1"/>
      <name val="Tahoma"/>
      <family val="2"/>
    </font>
    <font>
      <b/>
      <u/>
      <sz val="10"/>
      <color theme="1"/>
      <name val="Tahoma"/>
      <family val="2"/>
    </font>
    <font>
      <sz val="10"/>
      <color theme="1"/>
      <name val="Tahoma"/>
      <family val="2"/>
    </font>
    <font>
      <b/>
      <sz val="12"/>
      <color theme="1"/>
      <name val="Tahoma"/>
      <family val="2"/>
    </font>
    <font>
      <sz val="10"/>
      <color rgb="FFFF0000"/>
      <name val="Tahoma"/>
      <family val="2"/>
    </font>
    <font>
      <b/>
      <sz val="11"/>
      <color theme="1"/>
      <name val="Tahoma"/>
      <family val="2"/>
    </font>
    <font>
      <b/>
      <sz val="14"/>
      <color theme="1"/>
      <name val="Tahoma"/>
      <family val="2"/>
    </font>
    <font>
      <b/>
      <sz val="10"/>
      <color rgb="FFFF0000"/>
      <name val="Tahoma"/>
      <family val="2"/>
    </font>
    <font>
      <b/>
      <sz val="14"/>
      <color rgb="FFFF0000"/>
      <name val="Tahoma"/>
      <family val="2"/>
    </font>
    <font>
      <i/>
      <sz val="8"/>
      <color rgb="FFFF0000"/>
      <name val="Tahoma"/>
      <family val="2"/>
    </font>
    <font>
      <sz val="10"/>
      <color theme="0"/>
      <name val="Tahoma"/>
      <family val="2"/>
    </font>
    <font>
      <sz val="9"/>
      <color theme="1"/>
      <name val="Tahoma"/>
      <family val="2"/>
    </font>
    <font>
      <i/>
      <sz val="10"/>
      <color theme="0"/>
      <name val="Tahoma"/>
      <family val="2"/>
    </font>
    <font>
      <sz val="8"/>
      <color theme="1"/>
      <name val="Tahoma"/>
      <family val="2"/>
    </font>
    <font>
      <sz val="10"/>
      <name val="Tahoma"/>
      <family val="2"/>
    </font>
    <font>
      <b/>
      <sz val="13"/>
      <color theme="1"/>
      <name val="Tahoma"/>
      <family val="2"/>
    </font>
    <font>
      <b/>
      <sz val="10"/>
      <name val="Tahoma"/>
      <family val="2"/>
    </font>
    <font>
      <b/>
      <sz val="12"/>
      <name val="Tahoma"/>
      <family val="2"/>
    </font>
    <font>
      <b/>
      <i/>
      <sz val="11"/>
      <color theme="1"/>
      <name val="Tahoma"/>
      <family val="2"/>
    </font>
    <font>
      <i/>
      <sz val="11"/>
      <color theme="1"/>
      <name val="Tahoma"/>
      <family val="2"/>
    </font>
  </fonts>
  <fills count="7">
    <fill>
      <patternFill patternType="none"/>
    </fill>
    <fill>
      <patternFill patternType="gray125"/>
    </fill>
    <fill>
      <patternFill patternType="solid">
        <fgColor theme="0"/>
        <bgColor indexed="64"/>
      </patternFill>
    </fill>
    <fill>
      <patternFill patternType="solid">
        <fgColor rgb="FFFFABAB"/>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9A9B9D"/>
        <bgColor indexed="64"/>
      </patternFill>
    </fill>
  </fills>
  <borders count="26">
    <border>
      <left/>
      <right/>
      <top/>
      <bottom/>
      <diagonal/>
    </border>
    <border>
      <left/>
      <right/>
      <top/>
      <bottom style="hair">
        <color indexed="64"/>
      </bottom>
      <diagonal/>
    </border>
    <border>
      <left/>
      <right/>
      <top/>
      <bottom style="medium">
        <color rgb="FF00008F"/>
      </bottom>
      <diagonal/>
    </border>
    <border>
      <left/>
      <right/>
      <top/>
      <bottom style="medium">
        <color rgb="FFC20000"/>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rgb="FF9A9B9D"/>
      </bottom>
      <diagonal/>
    </border>
    <border>
      <left/>
      <right style="thin">
        <color indexed="64"/>
      </right>
      <top/>
      <bottom/>
      <diagonal/>
    </border>
    <border>
      <left/>
      <right/>
      <top/>
      <bottom style="medium">
        <color indexed="64"/>
      </bottom>
      <diagonal/>
    </border>
    <border>
      <left style="hair">
        <color indexed="64"/>
      </left>
      <right/>
      <top/>
      <bottom/>
      <diagonal/>
    </border>
    <border>
      <left style="hair">
        <color indexed="64"/>
      </left>
      <right/>
      <top style="hair">
        <color indexed="64"/>
      </top>
      <bottom style="hair">
        <color indexed="64"/>
      </bottom>
      <diagonal/>
    </border>
    <border>
      <left/>
      <right/>
      <top/>
      <bottom style="thin">
        <color indexed="64"/>
      </bottom>
      <diagonal/>
    </border>
    <border>
      <left/>
      <right/>
      <top style="medium">
        <color rgb="FF00008F"/>
      </top>
      <bottom/>
      <diagonal/>
    </border>
    <border>
      <left/>
      <right/>
      <top style="hair">
        <color indexed="64"/>
      </top>
      <bottom/>
      <diagonal/>
    </border>
    <border>
      <left/>
      <right style="medium">
        <color indexed="64"/>
      </right>
      <top/>
      <bottom/>
      <diagonal/>
    </border>
    <border>
      <left/>
      <right/>
      <top/>
      <bottom style="medium">
        <color rgb="FF9393FF"/>
      </bottom>
      <diagonal/>
    </border>
    <border>
      <left/>
      <right/>
      <top style="medium">
        <color rgb="FFC20000"/>
      </top>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hair">
        <color indexed="64"/>
      </bottom>
      <diagonal/>
    </border>
    <border>
      <left style="medium">
        <color indexed="64"/>
      </left>
      <right/>
      <top/>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225">
    <xf numFmtId="0" fontId="0" fillId="0" borderId="0" xfId="0"/>
    <xf numFmtId="2" fontId="0" fillId="3" borderId="4" xfId="0" applyNumberFormat="1" applyFill="1" applyBorder="1" applyAlignment="1" applyProtection="1">
      <alignment horizontal="center"/>
      <protection locked="0"/>
    </xf>
    <xf numFmtId="2" fontId="0" fillId="4" borderId="4" xfId="0" applyNumberFormat="1" applyFill="1" applyBorder="1" applyAlignment="1" applyProtection="1">
      <alignment horizontal="center"/>
      <protection locked="0"/>
    </xf>
    <xf numFmtId="2" fontId="0" fillId="4" borderId="4" xfId="0" applyNumberFormat="1" applyFill="1" applyBorder="1" applyProtection="1">
      <protection locked="0"/>
    </xf>
    <xf numFmtId="0" fontId="1" fillId="4" borderId="4" xfId="0" applyFont="1" applyFill="1" applyBorder="1" applyProtection="1">
      <protection locked="0"/>
    </xf>
    <xf numFmtId="0" fontId="0" fillId="2" borderId="0" xfId="0" applyFill="1" applyAlignment="1" applyProtection="1">
      <alignment horizontal="center"/>
      <protection locked="0"/>
    </xf>
    <xf numFmtId="0" fontId="0" fillId="2" borderId="0" xfId="0" applyFill="1" applyProtection="1">
      <protection locked="0"/>
    </xf>
    <xf numFmtId="0" fontId="0" fillId="2" borderId="9" xfId="0" applyFill="1" applyBorder="1"/>
    <xf numFmtId="0" fontId="0" fillId="2" borderId="0" xfId="0" applyFill="1"/>
    <xf numFmtId="165" fontId="0" fillId="2" borderId="10" xfId="0" applyNumberFormat="1" applyFill="1" applyBorder="1"/>
    <xf numFmtId="0" fontId="0" fillId="5" borderId="0" xfId="0" applyFill="1"/>
    <xf numFmtId="0" fontId="1" fillId="2" borderId="0" xfId="0" applyFont="1" applyFill="1"/>
    <xf numFmtId="165" fontId="1" fillId="2" borderId="7" xfId="0" applyNumberFormat="1" applyFont="1" applyFill="1" applyBorder="1"/>
    <xf numFmtId="0" fontId="0" fillId="4" borderId="4" xfId="0" applyFill="1" applyBorder="1" applyProtection="1">
      <protection locked="0"/>
    </xf>
    <xf numFmtId="1" fontId="1" fillId="2" borderId="0" xfId="0" applyNumberFormat="1" applyFont="1" applyFill="1"/>
    <xf numFmtId="0" fontId="11" fillId="2" borderId="0" xfId="0" applyFont="1" applyFill="1" applyAlignment="1">
      <alignment vertical="center" wrapText="1"/>
    </xf>
    <xf numFmtId="0" fontId="5" fillId="2" borderId="0" xfId="0" applyFont="1" applyFill="1"/>
    <xf numFmtId="165" fontId="0" fillId="4" borderId="4" xfId="1" applyNumberFormat="1" applyFont="1" applyFill="1" applyBorder="1" applyAlignment="1" applyProtection="1">
      <protection locked="0"/>
    </xf>
    <xf numFmtId="0" fontId="11" fillId="6" borderId="0" xfId="0" applyFont="1" applyFill="1" applyAlignment="1">
      <alignment vertical="center" wrapText="1"/>
    </xf>
    <xf numFmtId="0" fontId="0" fillId="6" borderId="0" xfId="0" applyFill="1"/>
    <xf numFmtId="165" fontId="0" fillId="4" borderId="4" xfId="1" applyNumberFormat="1" applyFont="1" applyFill="1" applyBorder="1" applyAlignment="1" applyProtection="1">
      <alignment horizontal="center"/>
      <protection locked="0"/>
    </xf>
    <xf numFmtId="2" fontId="0" fillId="4" borderId="4" xfId="1" applyNumberFormat="1" applyFont="1" applyFill="1" applyBorder="1" applyAlignment="1" applyProtection="1">
      <alignment horizontal="center"/>
      <protection locked="0"/>
    </xf>
    <xf numFmtId="0" fontId="0" fillId="2" borderId="0" xfId="0" applyFill="1" applyAlignment="1" applyProtection="1">
      <alignment horizontal="left"/>
      <protection locked="0"/>
    </xf>
    <xf numFmtId="0" fontId="10" fillId="2" borderId="0" xfId="0" applyFont="1" applyFill="1"/>
    <xf numFmtId="0" fontId="2" fillId="0" borderId="0" xfId="0" applyFont="1"/>
    <xf numFmtId="0" fontId="3" fillId="2" borderId="0" xfId="0" applyFont="1" applyFill="1"/>
    <xf numFmtId="14" fontId="0" fillId="2" borderId="0" xfId="0" applyNumberFormat="1" applyFill="1"/>
    <xf numFmtId="0" fontId="0" fillId="2" borderId="2" xfId="0" applyFill="1" applyBorder="1"/>
    <xf numFmtId="0" fontId="0" fillId="6" borderId="2" xfId="0" applyFill="1" applyBorder="1"/>
    <xf numFmtId="0" fontId="2" fillId="2" borderId="0" xfId="0" applyFont="1" applyFill="1" applyAlignment="1">
      <alignment vertical="top"/>
    </xf>
    <xf numFmtId="0" fontId="4" fillId="2" borderId="0" xfId="0" applyFont="1" applyFill="1"/>
    <xf numFmtId="0" fontId="0" fillId="2" borderId="0" xfId="0" applyFill="1" applyAlignment="1">
      <alignment horizontal="center"/>
    </xf>
    <xf numFmtId="0" fontId="14" fillId="2" borderId="0" xfId="0" applyFont="1" applyFill="1"/>
    <xf numFmtId="0" fontId="0" fillId="6" borderId="0" xfId="0" applyFill="1" applyAlignment="1">
      <alignment horizontal="center"/>
    </xf>
    <xf numFmtId="2" fontId="0" fillId="2" borderId="0" xfId="0" applyNumberFormat="1" applyFill="1" applyAlignment="1">
      <alignment horizontal="center"/>
    </xf>
    <xf numFmtId="2" fontId="0" fillId="6" borderId="0" xfId="0" applyNumberFormat="1" applyFill="1" applyAlignment="1">
      <alignment horizontal="center"/>
    </xf>
    <xf numFmtId="2" fontId="1" fillId="2" borderId="0" xfId="0" applyNumberFormat="1" applyFont="1" applyFill="1" applyAlignment="1">
      <alignment horizontal="center"/>
    </xf>
    <xf numFmtId="1" fontId="1" fillId="2" borderId="0" xfId="0" applyNumberFormat="1" applyFont="1" applyFill="1" applyAlignment="1">
      <alignment horizontal="center"/>
    </xf>
    <xf numFmtId="1" fontId="1" fillId="6" borderId="0" xfId="0" applyNumberFormat="1" applyFont="1" applyFill="1" applyAlignment="1">
      <alignment horizontal="center"/>
    </xf>
    <xf numFmtId="0" fontId="1" fillId="6" borderId="0" xfId="0" applyFont="1" applyFill="1"/>
    <xf numFmtId="0" fontId="0" fillId="2" borderId="0" xfId="0" applyFill="1" applyAlignment="1">
      <alignment vertical="top" wrapText="1"/>
    </xf>
    <xf numFmtId="14" fontId="0" fillId="0" borderId="0" xfId="0" applyNumberFormat="1"/>
    <xf numFmtId="165" fontId="7" fillId="2" borderId="0" xfId="1" applyNumberFormat="1" applyFont="1" applyFill="1" applyBorder="1" applyAlignment="1" applyProtection="1">
      <alignment horizontal="left" vertical="center"/>
    </xf>
    <xf numFmtId="165" fontId="7" fillId="6" borderId="0" xfId="1" applyNumberFormat="1" applyFont="1" applyFill="1" applyBorder="1" applyAlignment="1" applyProtection="1">
      <alignment horizontal="left" vertical="center"/>
    </xf>
    <xf numFmtId="164" fontId="0" fillId="0" borderId="0" xfId="0" applyNumberFormat="1"/>
    <xf numFmtId="0" fontId="1" fillId="2" borderId="3" xfId="0" applyFont="1" applyFill="1" applyBorder="1"/>
    <xf numFmtId="0" fontId="0" fillId="2" borderId="3" xfId="0" applyFill="1" applyBorder="1"/>
    <xf numFmtId="0" fontId="1" fillId="6" borderId="3" xfId="0" applyFont="1" applyFill="1" applyBorder="1"/>
    <xf numFmtId="0" fontId="0" fillId="2" borderId="3" xfId="0" applyFill="1" applyBorder="1" applyAlignment="1">
      <alignment vertical="top" wrapText="1"/>
    </xf>
    <xf numFmtId="0" fontId="1" fillId="5" borderId="0" xfId="0" applyFont="1" applyFill="1"/>
    <xf numFmtId="0" fontId="8" fillId="2" borderId="0" xfId="0" applyFont="1" applyFill="1"/>
    <xf numFmtId="0" fontId="8" fillId="6" borderId="0" xfId="0" applyFont="1" applyFill="1"/>
    <xf numFmtId="165" fontId="1" fillId="2" borderId="0" xfId="1" applyNumberFormat="1" applyFont="1" applyFill="1" applyBorder="1" applyProtection="1"/>
    <xf numFmtId="0" fontId="0" fillId="2" borderId="8" xfId="0" applyFill="1" applyBorder="1"/>
    <xf numFmtId="0" fontId="1" fillId="2" borderId="8" xfId="0" applyFont="1" applyFill="1" applyBorder="1"/>
    <xf numFmtId="0" fontId="5" fillId="6" borderId="0" xfId="0" applyFont="1" applyFill="1"/>
    <xf numFmtId="0" fontId="5" fillId="2" borderId="0" xfId="0" applyFont="1" applyFill="1" applyAlignment="1">
      <alignment horizontal="left"/>
    </xf>
    <xf numFmtId="1" fontId="0" fillId="2" borderId="0" xfId="0" applyNumberFormat="1" applyFill="1"/>
    <xf numFmtId="0" fontId="8" fillId="2" borderId="0" xfId="0" applyFont="1" applyFill="1" applyAlignment="1">
      <alignment wrapText="1"/>
    </xf>
    <xf numFmtId="165" fontId="0" fillId="2" borderId="0" xfId="0" applyNumberFormat="1" applyFill="1"/>
    <xf numFmtId="165" fontId="0" fillId="6" borderId="0" xfId="0" applyNumberFormat="1" applyFill="1"/>
    <xf numFmtId="0" fontId="13" fillId="6" borderId="0" xfId="0" applyFont="1" applyFill="1"/>
    <xf numFmtId="0" fontId="13" fillId="2" borderId="0" xfId="0" applyFont="1" applyFill="1"/>
    <xf numFmtId="165" fontId="1" fillId="6" borderId="0" xfId="0" applyNumberFormat="1" applyFont="1" applyFill="1"/>
    <xf numFmtId="1" fontId="1" fillId="2" borderId="5" xfId="0" applyNumberFormat="1" applyFont="1" applyFill="1" applyBorder="1"/>
    <xf numFmtId="165" fontId="1" fillId="2" borderId="5" xfId="0" applyNumberFormat="1" applyFont="1" applyFill="1" applyBorder="1"/>
    <xf numFmtId="165" fontId="1" fillId="2" borderId="0" xfId="0" applyNumberFormat="1" applyFont="1" applyFill="1"/>
    <xf numFmtId="165" fontId="0" fillId="0" borderId="0" xfId="0" applyNumberFormat="1"/>
    <xf numFmtId="0" fontId="11" fillId="6" borderId="0" xfId="0" applyFont="1" applyFill="1" applyAlignment="1">
      <alignment horizontal="left" vertical="center" wrapText="1"/>
    </xf>
    <xf numFmtId="0" fontId="8" fillId="6" borderId="3" xfId="0" applyFont="1" applyFill="1" applyBorder="1"/>
    <xf numFmtId="0" fontId="1" fillId="2" borderId="17" xfId="0" applyFont="1" applyFill="1" applyBorder="1"/>
    <xf numFmtId="0" fontId="16" fillId="6" borderId="2" xfId="0" applyFont="1" applyFill="1" applyBorder="1"/>
    <xf numFmtId="0" fontId="9" fillId="2" borderId="0" xfId="0" applyFont="1" applyFill="1"/>
    <xf numFmtId="0" fontId="2" fillId="2" borderId="0" xfId="0" applyFont="1" applyFill="1"/>
    <xf numFmtId="0" fontId="15" fillId="2" borderId="0" xfId="0" applyFont="1" applyFill="1" applyAlignment="1">
      <alignment horizontal="center" wrapText="1"/>
    </xf>
    <xf numFmtId="0" fontId="0" fillId="2" borderId="13" xfId="0" applyFill="1" applyBorder="1" applyAlignment="1">
      <alignment vertical="top" wrapText="1"/>
    </xf>
    <xf numFmtId="0" fontId="7" fillId="2" borderId="11" xfId="0" applyFont="1" applyFill="1" applyBorder="1" applyAlignment="1">
      <alignment vertical="center"/>
    </xf>
    <xf numFmtId="0" fontId="1" fillId="6" borderId="8" xfId="0" applyFont="1" applyFill="1" applyBorder="1"/>
    <xf numFmtId="165" fontId="0" fillId="2" borderId="0" xfId="1" applyNumberFormat="1" applyFont="1" applyFill="1" applyBorder="1" applyProtection="1"/>
    <xf numFmtId="0" fontId="7" fillId="2" borderId="0" xfId="0" applyFont="1" applyFill="1"/>
    <xf numFmtId="1" fontId="0" fillId="4" borderId="4" xfId="0" applyNumberFormat="1" applyFill="1" applyBorder="1" applyAlignment="1" applyProtection="1">
      <alignment horizontal="center"/>
      <protection locked="0"/>
    </xf>
    <xf numFmtId="165" fontId="1" fillId="2" borderId="5" xfId="1" applyNumberFormat="1" applyFont="1" applyFill="1" applyBorder="1" applyProtection="1"/>
    <xf numFmtId="0" fontId="8" fillId="2" borderId="8" xfId="0" applyFont="1" applyFill="1" applyBorder="1"/>
    <xf numFmtId="0" fontId="0" fillId="2" borderId="0" xfId="0" applyFill="1" applyAlignment="1">
      <alignment vertical="top"/>
    </xf>
    <xf numFmtId="0" fontId="17" fillId="2" borderId="0" xfId="0" applyFont="1" applyFill="1" applyAlignment="1">
      <alignment vertical="top"/>
    </xf>
    <xf numFmtId="43" fontId="0" fillId="2" borderId="0" xfId="0" applyNumberFormat="1" applyFill="1"/>
    <xf numFmtId="2" fontId="2" fillId="2" borderId="0" xfId="0" applyNumberFormat="1" applyFont="1" applyFill="1" applyAlignment="1">
      <alignment horizontal="center"/>
    </xf>
    <xf numFmtId="0" fontId="2" fillId="2" borderId="0" xfId="0" applyFont="1" applyFill="1" applyAlignment="1">
      <alignment horizontal="left"/>
    </xf>
    <xf numFmtId="165" fontId="8" fillId="0" borderId="0" xfId="0" applyNumberFormat="1" applyFont="1"/>
    <xf numFmtId="0" fontId="8" fillId="0" borderId="0" xfId="0" applyFont="1"/>
    <xf numFmtId="10" fontId="8" fillId="0" borderId="0" xfId="2" applyNumberFormat="1" applyFont="1" applyBorder="1" applyProtection="1"/>
    <xf numFmtId="0" fontId="18" fillId="2" borderId="3" xfId="0" applyFont="1" applyFill="1" applyBorder="1"/>
    <xf numFmtId="0" fontId="18" fillId="2" borderId="3" xfId="0" applyFont="1" applyFill="1" applyBorder="1" applyAlignment="1">
      <alignment horizontal="center"/>
    </xf>
    <xf numFmtId="0" fontId="0" fillId="2" borderId="3" xfId="0" applyFill="1" applyBorder="1" applyAlignment="1">
      <alignment horizontal="left"/>
    </xf>
    <xf numFmtId="0" fontId="8" fillId="2" borderId="3" xfId="0" applyFont="1" applyFill="1" applyBorder="1" applyAlignment="1">
      <alignment horizontal="left"/>
    </xf>
    <xf numFmtId="0" fontId="0" fillId="2" borderId="0" xfId="0" applyFill="1" applyAlignment="1">
      <alignment horizontal="left" indent="5"/>
    </xf>
    <xf numFmtId="0" fontId="1" fillId="2" borderId="0" xfId="0" applyFont="1" applyFill="1" applyAlignment="1">
      <alignment horizontal="left" indent="5"/>
    </xf>
    <xf numFmtId="0" fontId="0" fillId="2" borderId="0" xfId="1" applyNumberFormat="1" applyFont="1" applyFill="1" applyBorder="1" applyAlignment="1" applyProtection="1">
      <alignment horizontal="center"/>
    </xf>
    <xf numFmtId="0" fontId="8" fillId="2" borderId="0" xfId="0" applyFont="1" applyFill="1" applyAlignment="1">
      <alignment horizontal="center"/>
    </xf>
    <xf numFmtId="0" fontId="0" fillId="2" borderId="8" xfId="0" applyFill="1" applyBorder="1" applyProtection="1">
      <protection locked="0"/>
    </xf>
    <xf numFmtId="0" fontId="0" fillId="2" borderId="0" xfId="0" applyFill="1" applyAlignment="1">
      <alignment horizontal="left" indent="4"/>
    </xf>
    <xf numFmtId="0" fontId="0" fillId="2" borderId="8" xfId="0" applyFill="1" applyBorder="1" applyAlignment="1">
      <alignment horizontal="center"/>
    </xf>
    <xf numFmtId="2" fontId="0" fillId="0" borderId="0" xfId="0" applyNumberFormat="1"/>
    <xf numFmtId="0" fontId="2" fillId="2" borderId="3" xfId="0" applyFont="1" applyFill="1" applyBorder="1" applyAlignment="1">
      <alignment horizontal="left" indent="3"/>
    </xf>
    <xf numFmtId="0" fontId="2" fillId="2" borderId="3" xfId="0" applyFont="1" applyFill="1" applyBorder="1"/>
    <xf numFmtId="166" fontId="2" fillId="2" borderId="3" xfId="0" applyNumberFormat="1" applyFont="1" applyFill="1" applyBorder="1" applyAlignment="1">
      <alignment horizontal="center"/>
    </xf>
    <xf numFmtId="0" fontId="2" fillId="2" borderId="3" xfId="0" applyFont="1" applyFill="1" applyBorder="1" applyAlignment="1">
      <alignment horizontal="left" indent="1"/>
    </xf>
    <xf numFmtId="0" fontId="19" fillId="2" borderId="0" xfId="0" applyFont="1" applyFill="1"/>
    <xf numFmtId="0" fontId="1" fillId="2" borderId="11" xfId="0" applyFont="1" applyFill="1" applyBorder="1"/>
    <xf numFmtId="0" fontId="1" fillId="0" borderId="0" xfId="0" applyFont="1"/>
    <xf numFmtId="0" fontId="11" fillId="2" borderId="0" xfId="0" applyFont="1" applyFill="1" applyAlignment="1">
      <alignment horizontal="left" vertical="center" wrapText="1"/>
    </xf>
    <xf numFmtId="1" fontId="18" fillId="2" borderId="0" xfId="0" applyNumberFormat="1" applyFont="1" applyFill="1" applyAlignment="1" applyProtection="1">
      <alignment horizontal="right"/>
      <protection locked="0"/>
    </xf>
    <xf numFmtId="0" fontId="0" fillId="2" borderId="0" xfId="0" applyFill="1" applyAlignment="1" applyProtection="1">
      <alignment horizontal="right"/>
      <protection locked="0"/>
    </xf>
    <xf numFmtId="0" fontId="0" fillId="2" borderId="0" xfId="0" applyFill="1" applyAlignment="1">
      <alignment horizontal="right"/>
    </xf>
    <xf numFmtId="0" fontId="0" fillId="2" borderId="0" xfId="0" applyFill="1" applyAlignment="1">
      <alignment horizontal="justify" vertical="top"/>
    </xf>
    <xf numFmtId="0" fontId="0" fillId="2" borderId="0" xfId="0" applyFill="1" applyAlignment="1">
      <alignment horizontal="justify" vertical="justify" wrapText="1"/>
    </xf>
    <xf numFmtId="9" fontId="1" fillId="4" borderId="4" xfId="0" applyNumberFormat="1" applyFont="1" applyFill="1" applyBorder="1" applyAlignment="1" applyProtection="1">
      <alignment horizontal="center"/>
      <protection locked="0"/>
    </xf>
    <xf numFmtId="9" fontId="1" fillId="4" borderId="12" xfId="0" applyNumberFormat="1" applyFont="1" applyFill="1" applyBorder="1" applyAlignment="1" applyProtection="1">
      <alignment horizontal="center"/>
      <protection locked="0"/>
    </xf>
    <xf numFmtId="0" fontId="1" fillId="2" borderId="0" xfId="0" applyFont="1" applyFill="1" applyAlignment="1">
      <alignment horizontal="center"/>
    </xf>
    <xf numFmtId="0" fontId="0" fillId="2" borderId="0" xfId="0" applyFill="1" applyAlignment="1">
      <alignment horizontal="justify" vertical="top" wrapText="1"/>
    </xf>
    <xf numFmtId="0" fontId="5" fillId="2" borderId="0" xfId="0" applyFont="1" applyFill="1" applyAlignment="1">
      <alignment horizontal="center"/>
    </xf>
    <xf numFmtId="0" fontId="1" fillId="2" borderId="0" xfId="0" applyFont="1" applyFill="1" applyAlignment="1">
      <alignment horizontal="right"/>
    </xf>
    <xf numFmtId="0" fontId="3" fillId="2" borderId="0" xfId="0" applyFont="1" applyFill="1" applyAlignment="1">
      <alignment horizontal="center"/>
    </xf>
    <xf numFmtId="0" fontId="4" fillId="2" borderId="0" xfId="0" applyFont="1" applyFill="1" applyAlignment="1">
      <alignment horizontal="center"/>
    </xf>
    <xf numFmtId="166" fontId="0" fillId="2" borderId="0" xfId="0" applyNumberFormat="1" applyFill="1" applyAlignment="1">
      <alignment horizontal="center"/>
    </xf>
    <xf numFmtId="167" fontId="0" fillId="2" borderId="0" xfId="0" applyNumberFormat="1" applyFill="1" applyAlignment="1">
      <alignment horizontal="center"/>
    </xf>
    <xf numFmtId="169" fontId="0" fillId="2" borderId="0" xfId="0" applyNumberFormat="1" applyFill="1"/>
    <xf numFmtId="168" fontId="0" fillId="2" borderId="0" xfId="0" applyNumberFormat="1" applyFill="1" applyAlignment="1">
      <alignment horizontal="center"/>
    </xf>
    <xf numFmtId="170" fontId="0" fillId="2" borderId="0" xfId="0" applyNumberFormat="1" applyFill="1" applyAlignment="1">
      <alignment horizontal="center"/>
    </xf>
    <xf numFmtId="165" fontId="0" fillId="0" borderId="0" xfId="1" applyNumberFormat="1" applyFont="1" applyBorder="1" applyProtection="1"/>
    <xf numFmtId="165" fontId="13" fillId="2" borderId="0" xfId="0" applyNumberFormat="1" applyFont="1" applyFill="1"/>
    <xf numFmtId="0" fontId="21" fillId="2" borderId="0" xfId="0" applyFont="1" applyFill="1" applyAlignment="1">
      <alignment horizontal="right" vertical="center"/>
    </xf>
    <xf numFmtId="0" fontId="22" fillId="2" borderId="0" xfId="0" applyFont="1" applyFill="1" applyAlignment="1">
      <alignment horizontal="center" vertical="center"/>
    </xf>
    <xf numFmtId="9" fontId="1" fillId="2" borderId="0" xfId="0" applyNumberFormat="1" applyFont="1" applyFill="1" applyAlignment="1">
      <alignment horizontal="center"/>
    </xf>
    <xf numFmtId="0" fontId="0" fillId="2" borderId="2" xfId="0" applyFill="1" applyBorder="1" applyAlignment="1">
      <alignment vertical="top" wrapText="1"/>
    </xf>
    <xf numFmtId="0" fontId="0" fillId="6" borderId="0" xfId="0" applyFill="1" applyAlignment="1">
      <alignment vertical="top" wrapText="1"/>
    </xf>
    <xf numFmtId="0" fontId="0" fillId="2" borderId="0" xfId="0" applyFill="1" applyAlignment="1">
      <alignment horizontal="left" indent="1"/>
    </xf>
    <xf numFmtId="2" fontId="0" fillId="3" borderId="12" xfId="0" applyNumberFormat="1" applyFill="1" applyBorder="1" applyAlignment="1" applyProtection="1">
      <alignment horizontal="center"/>
      <protection locked="0"/>
    </xf>
    <xf numFmtId="2" fontId="8" fillId="2" borderId="0" xfId="0" applyNumberFormat="1" applyFont="1" applyFill="1"/>
    <xf numFmtId="0" fontId="1" fillId="2" borderId="0" xfId="0" applyFont="1" applyFill="1" applyAlignment="1">
      <alignment horizontal="left" indent="1"/>
    </xf>
    <xf numFmtId="165" fontId="0" fillId="2" borderId="0" xfId="0" applyNumberFormat="1" applyFill="1" applyProtection="1">
      <protection locked="0"/>
    </xf>
    <xf numFmtId="1" fontId="1" fillId="2" borderId="0" xfId="0" applyNumberFormat="1" applyFont="1" applyFill="1" applyAlignment="1">
      <alignment horizontal="right"/>
    </xf>
    <xf numFmtId="0" fontId="11" fillId="2" borderId="0" xfId="0" applyFont="1" applyFill="1" applyAlignment="1">
      <alignment vertical="center"/>
    </xf>
    <xf numFmtId="0" fontId="20" fillId="2" borderId="0" xfId="0" applyFont="1" applyFill="1" applyAlignment="1">
      <alignment horizontal="right" vertical="center"/>
    </xf>
    <xf numFmtId="0" fontId="11" fillId="2" borderId="11" xfId="0" applyFont="1" applyFill="1" applyBorder="1" applyAlignment="1">
      <alignment vertical="center" wrapText="1"/>
    </xf>
    <xf numFmtId="0" fontId="20" fillId="2" borderId="0" xfId="0" applyFont="1" applyFill="1" applyAlignment="1">
      <alignment vertical="center" wrapText="1"/>
    </xf>
    <xf numFmtId="0" fontId="18" fillId="2" borderId="0" xfId="0" applyFont="1" applyFill="1" applyAlignment="1" applyProtection="1">
      <alignment horizontal="right" vertical="center"/>
      <protection locked="0"/>
    </xf>
    <xf numFmtId="0" fontId="0" fillId="2" borderId="0" xfId="0" applyFill="1" applyAlignment="1">
      <alignment horizontal="justify" vertical="top" wrapText="1"/>
    </xf>
    <xf numFmtId="0" fontId="7" fillId="2" borderId="0" xfId="0" applyFont="1" applyFill="1" applyAlignment="1">
      <alignment horizontal="center" vertical="center"/>
    </xf>
    <xf numFmtId="165" fontId="7" fillId="2" borderId="6" xfId="1" applyNumberFormat="1" applyFont="1" applyFill="1" applyBorder="1" applyAlignment="1" applyProtection="1">
      <alignment horizontal="left" vertical="center"/>
    </xf>
    <xf numFmtId="165" fontId="7" fillId="2" borderId="7" xfId="1" applyNumberFormat="1" applyFont="1" applyFill="1" applyBorder="1" applyAlignment="1" applyProtection="1">
      <alignment horizontal="left" vertical="center"/>
    </xf>
    <xf numFmtId="0" fontId="10" fillId="4" borderId="12" xfId="0" applyFont="1" applyFill="1" applyBorder="1" applyAlignment="1" applyProtection="1">
      <alignment horizontal="center"/>
      <protection locked="0"/>
    </xf>
    <xf numFmtId="0" fontId="10" fillId="4" borderId="19" xfId="0" applyFont="1" applyFill="1" applyBorder="1" applyAlignment="1" applyProtection="1">
      <alignment horizontal="center"/>
      <protection locked="0"/>
    </xf>
    <xf numFmtId="0" fontId="0" fillId="2" borderId="1" xfId="0" applyFill="1" applyBorder="1" applyProtection="1">
      <protection locked="0"/>
    </xf>
    <xf numFmtId="14" fontId="0" fillId="2" borderId="1" xfId="0" applyNumberFormat="1" applyFill="1" applyBorder="1" applyProtection="1">
      <protection locked="0"/>
    </xf>
    <xf numFmtId="0" fontId="0" fillId="2" borderId="14" xfId="0" applyFill="1" applyBorder="1" applyAlignment="1">
      <alignment horizontal="justify" vertical="top" wrapText="1"/>
    </xf>
    <xf numFmtId="0" fontId="5" fillId="2" borderId="0" xfId="0" applyFont="1" applyFill="1" applyAlignment="1">
      <alignment horizontal="center"/>
    </xf>
    <xf numFmtId="0" fontId="2" fillId="2" borderId="0" xfId="0" applyFont="1" applyFill="1" applyAlignment="1">
      <alignment horizontal="center" vertical="center" wrapText="1"/>
    </xf>
    <xf numFmtId="0" fontId="2" fillId="2" borderId="0" xfId="0" applyFont="1" applyFill="1" applyAlignment="1">
      <alignment horizontal="center" wrapText="1"/>
    </xf>
    <xf numFmtId="0" fontId="0" fillId="2" borderId="0" xfId="0" applyFill="1" applyAlignment="1">
      <alignment horizontal="justify" wrapText="1"/>
    </xf>
    <xf numFmtId="0" fontId="12" fillId="2" borderId="0" xfId="0" applyFont="1" applyFill="1" applyAlignment="1">
      <alignment horizontal="center" vertical="center"/>
    </xf>
    <xf numFmtId="0" fontId="0" fillId="2" borderId="0" xfId="0" applyFill="1" applyAlignment="1">
      <alignment horizontal="justify" vertical="top"/>
    </xf>
    <xf numFmtId="0" fontId="11" fillId="2" borderId="0" xfId="0" applyFont="1" applyFill="1" applyAlignment="1">
      <alignment horizontal="center" vertical="center" wrapText="1"/>
    </xf>
    <xf numFmtId="0" fontId="20" fillId="2" borderId="13" xfId="0" applyFont="1" applyFill="1" applyBorder="1" applyAlignment="1">
      <alignment horizontal="center" vertical="center" wrapText="1"/>
    </xf>
    <xf numFmtId="0" fontId="20" fillId="2" borderId="0" xfId="0" applyFont="1" applyFill="1" applyAlignment="1">
      <alignment horizontal="center" vertical="center" wrapText="1"/>
    </xf>
    <xf numFmtId="0" fontId="0" fillId="2" borderId="0" xfId="0" applyFill="1" applyAlignment="1">
      <alignment horizontal="left" wrapText="1"/>
    </xf>
    <xf numFmtId="165" fontId="0" fillId="2" borderId="0" xfId="0" applyNumberFormat="1" applyFill="1" applyAlignment="1">
      <alignment horizontal="center" vertical="center"/>
    </xf>
    <xf numFmtId="9" fontId="1" fillId="4" borderId="4" xfId="0" applyNumberFormat="1" applyFont="1" applyFill="1" applyBorder="1" applyAlignment="1" applyProtection="1">
      <alignment horizontal="center"/>
      <protection locked="0"/>
    </xf>
    <xf numFmtId="9" fontId="1" fillId="4" borderId="12" xfId="0" applyNumberFormat="1" applyFont="1" applyFill="1" applyBorder="1" applyAlignment="1" applyProtection="1">
      <alignment horizontal="center"/>
      <protection locked="0"/>
    </xf>
    <xf numFmtId="9" fontId="1" fillId="4" borderId="19" xfId="0" applyNumberFormat="1" applyFont="1" applyFill="1" applyBorder="1" applyAlignment="1" applyProtection="1">
      <alignment horizontal="center"/>
      <protection locked="0"/>
    </xf>
    <xf numFmtId="14" fontId="1" fillId="4" borderId="4" xfId="0" applyNumberFormat="1" applyFont="1" applyFill="1" applyBorder="1" applyAlignment="1" applyProtection="1">
      <alignment horizontal="center"/>
      <protection locked="0"/>
    </xf>
    <xf numFmtId="0" fontId="1" fillId="2" borderId="0" xfId="0" applyFont="1" applyFill="1" applyAlignment="1">
      <alignment horizontal="center"/>
    </xf>
    <xf numFmtId="0" fontId="0" fillId="2" borderId="0" xfId="0" applyFill="1" applyProtection="1">
      <protection locked="0"/>
    </xf>
    <xf numFmtId="0" fontId="0" fillId="2" borderId="0" xfId="0" applyFill="1" applyAlignment="1">
      <alignment horizontal="left" vertical="top" wrapText="1"/>
    </xf>
    <xf numFmtId="0" fontId="0" fillId="2" borderId="3" xfId="0" applyFill="1" applyBorder="1" applyAlignment="1">
      <alignment horizontal="left" vertical="top" wrapText="1"/>
    </xf>
    <xf numFmtId="0" fontId="0" fillId="4" borderId="4" xfId="0" applyFill="1" applyBorder="1" applyAlignment="1" applyProtection="1">
      <alignment horizontal="center"/>
      <protection locked="0"/>
    </xf>
    <xf numFmtId="0" fontId="18" fillId="2" borderId="20" xfId="0" applyFont="1" applyFill="1" applyBorder="1" applyAlignment="1">
      <alignment horizontal="center"/>
    </xf>
    <xf numFmtId="1" fontId="1" fillId="2" borderId="21" xfId="0" applyNumberFormat="1" applyFont="1" applyFill="1" applyBorder="1" applyAlignment="1">
      <alignment horizontal="center"/>
    </xf>
    <xf numFmtId="1" fontId="1" fillId="2" borderId="22" xfId="0" applyNumberFormat="1" applyFont="1" applyFill="1" applyBorder="1" applyAlignment="1">
      <alignment horizontal="center"/>
    </xf>
    <xf numFmtId="1" fontId="1" fillId="2" borderId="23" xfId="0" applyNumberFormat="1" applyFont="1" applyFill="1" applyBorder="1" applyAlignment="1">
      <alignment horizontal="center"/>
    </xf>
    <xf numFmtId="1" fontId="0" fillId="2" borderId="15" xfId="0" applyNumberFormat="1" applyFill="1" applyBorder="1" applyAlignment="1">
      <alignment horizontal="center"/>
    </xf>
    <xf numFmtId="0" fontId="2" fillId="2" borderId="0" xfId="0" applyFont="1" applyFill="1" applyAlignment="1">
      <alignment horizontal="right"/>
    </xf>
    <xf numFmtId="0" fontId="7" fillId="2" borderId="16" xfId="0" applyFont="1" applyFill="1" applyBorder="1" applyAlignment="1">
      <alignment horizontal="center" vertical="center"/>
    </xf>
    <xf numFmtId="165" fontId="7" fillId="2" borderId="6" xfId="1" applyNumberFormat="1" applyFont="1" applyFill="1" applyBorder="1" applyAlignment="1" applyProtection="1">
      <alignment horizontal="center" vertical="center"/>
    </xf>
    <xf numFmtId="165" fontId="7" fillId="2" borderId="7" xfId="1" applyNumberFormat="1" applyFont="1" applyFill="1" applyBorder="1" applyAlignment="1" applyProtection="1">
      <alignment horizontal="center" vertical="center"/>
    </xf>
    <xf numFmtId="1" fontId="1" fillId="2" borderId="15" xfId="0" applyNumberFormat="1" applyFont="1" applyFill="1" applyBorder="1" applyAlignment="1">
      <alignment horizontal="center"/>
    </xf>
    <xf numFmtId="14" fontId="0" fillId="2" borderId="1" xfId="0" applyNumberFormat="1" applyFill="1" applyBorder="1" applyAlignment="1" applyProtection="1">
      <alignment horizontal="left"/>
      <protection locked="0"/>
    </xf>
    <xf numFmtId="0" fontId="4" fillId="2" borderId="0" xfId="0" applyFont="1" applyFill="1" applyAlignment="1">
      <alignment horizont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3" fillId="2" borderId="0" xfId="0" applyFont="1" applyFill="1" applyAlignment="1">
      <alignment horizontal="center"/>
    </xf>
    <xf numFmtId="0" fontId="0" fillId="2" borderId="18" xfId="0" applyFill="1" applyBorder="1" applyAlignment="1">
      <alignment horizontal="justify" vertical="top"/>
    </xf>
    <xf numFmtId="0" fontId="0" fillId="2" borderId="3" xfId="0" applyFill="1" applyBorder="1" applyAlignment="1">
      <alignment horizontal="justify" vertical="top" wrapText="1"/>
    </xf>
    <xf numFmtId="0" fontId="1" fillId="2" borderId="0" xfId="0" applyFont="1" applyFill="1" applyAlignment="1">
      <alignment horizontal="right"/>
    </xf>
    <xf numFmtId="0" fontId="1" fillId="2" borderId="0" xfId="0" applyFont="1" applyFill="1" applyAlignment="1">
      <alignment horizontal="justify" vertical="top" wrapText="1"/>
    </xf>
    <xf numFmtId="0" fontId="0" fillId="4" borderId="12" xfId="0" applyFill="1" applyBorder="1" applyAlignment="1" applyProtection="1">
      <alignment horizontal="center"/>
      <protection locked="0"/>
    </xf>
    <xf numFmtId="0" fontId="0" fillId="4" borderId="24" xfId="0" applyFill="1" applyBorder="1" applyAlignment="1" applyProtection="1">
      <alignment horizontal="center"/>
      <protection locked="0"/>
    </xf>
    <xf numFmtId="0" fontId="0" fillId="4" borderId="19" xfId="0" applyFill="1" applyBorder="1" applyAlignment="1" applyProtection="1">
      <alignment horizontal="center"/>
      <protection locked="0"/>
    </xf>
    <xf numFmtId="0" fontId="11" fillId="2" borderId="11" xfId="0" applyFont="1" applyFill="1" applyBorder="1" applyAlignment="1">
      <alignment horizontal="center" vertical="center" wrapText="1"/>
    </xf>
    <xf numFmtId="0" fontId="0" fillId="2" borderId="0" xfId="0" applyFill="1" applyAlignment="1" applyProtection="1">
      <alignment horizontal="center"/>
      <protection locked="0"/>
    </xf>
    <xf numFmtId="14" fontId="1" fillId="4" borderId="12" xfId="0" applyNumberFormat="1" applyFont="1" applyFill="1" applyBorder="1" applyAlignment="1" applyProtection="1">
      <alignment horizontal="center"/>
      <protection locked="0"/>
    </xf>
    <xf numFmtId="14" fontId="1" fillId="4" borderId="19" xfId="0" applyNumberFormat="1" applyFont="1" applyFill="1" applyBorder="1" applyAlignment="1" applyProtection="1">
      <alignment horizontal="center"/>
      <protection locked="0"/>
    </xf>
    <xf numFmtId="0" fontId="0" fillId="2" borderId="12" xfId="0" applyFill="1" applyBorder="1" applyAlignment="1" applyProtection="1">
      <alignment horizontal="center"/>
      <protection locked="0" hidden="1"/>
    </xf>
    <xf numFmtId="0" fontId="0" fillId="2" borderId="24" xfId="0" applyFill="1" applyBorder="1" applyAlignment="1" applyProtection="1">
      <alignment horizontal="center"/>
      <protection locked="0" hidden="1"/>
    </xf>
    <xf numFmtId="0" fontId="0" fillId="2" borderId="19" xfId="0" applyFill="1" applyBorder="1" applyAlignment="1" applyProtection="1">
      <alignment horizontal="center"/>
      <protection locked="0" hidden="1"/>
    </xf>
    <xf numFmtId="0" fontId="0" fillId="2" borderId="12" xfId="0" applyFill="1" applyBorder="1" applyAlignment="1">
      <alignment horizontal="center"/>
    </xf>
    <xf numFmtId="0" fontId="0" fillId="2" borderId="24"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1" fontId="0" fillId="2" borderId="0" xfId="0" applyNumberFormat="1" applyFill="1" applyAlignment="1">
      <alignment horizontal="center"/>
    </xf>
    <xf numFmtId="0" fontId="21" fillId="2" borderId="0" xfId="0" applyFont="1" applyFill="1" applyAlignment="1">
      <alignment horizontal="right" vertical="center"/>
    </xf>
    <xf numFmtId="166" fontId="7" fillId="4" borderId="6" xfId="1" applyNumberFormat="1" applyFont="1" applyFill="1" applyBorder="1" applyAlignment="1" applyProtection="1">
      <alignment horizontal="center" vertical="center"/>
      <protection locked="0"/>
    </xf>
    <xf numFmtId="166" fontId="7" fillId="4" borderId="7" xfId="1" applyNumberFormat="1" applyFont="1" applyFill="1" applyBorder="1" applyAlignment="1" applyProtection="1">
      <alignment horizontal="center" vertical="center"/>
      <protection locked="0"/>
    </xf>
    <xf numFmtId="0" fontId="22" fillId="2" borderId="25" xfId="0" applyFont="1" applyFill="1" applyBorder="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center" vertical="center" wrapText="1"/>
    </xf>
    <xf numFmtId="0" fontId="10" fillId="4" borderId="4" xfId="0" applyFont="1" applyFill="1" applyBorder="1" applyAlignment="1" applyProtection="1">
      <alignment horizontal="center"/>
      <protection locked="0"/>
    </xf>
    <xf numFmtId="0" fontId="0" fillId="2" borderId="0" xfId="0" applyFill="1" applyAlignment="1">
      <alignment horizontal="justify" vertical="justify" wrapText="1"/>
    </xf>
    <xf numFmtId="2" fontId="1" fillId="4" borderId="12" xfId="0" applyNumberFormat="1" applyFont="1" applyFill="1" applyBorder="1" applyAlignment="1" applyProtection="1">
      <alignment horizontal="center"/>
      <protection locked="0"/>
    </xf>
    <xf numFmtId="2" fontId="1" fillId="4" borderId="19" xfId="0" applyNumberFormat="1" applyFont="1" applyFill="1" applyBorder="1" applyAlignment="1" applyProtection="1">
      <alignment horizontal="center"/>
      <protection locked="0"/>
    </xf>
    <xf numFmtId="0" fontId="1" fillId="2" borderId="11" xfId="0" applyFont="1" applyFill="1" applyBorder="1" applyAlignment="1">
      <alignment horizontal="center"/>
    </xf>
    <xf numFmtId="0" fontId="1" fillId="6" borderId="0" xfId="0" applyFont="1" applyFill="1" applyAlignment="1">
      <alignment horizontal="justify" vertical="top" wrapText="1"/>
    </xf>
    <xf numFmtId="0" fontId="0" fillId="2" borderId="3" xfId="0" applyFill="1" applyBorder="1" applyAlignment="1">
      <alignment horizontal="right"/>
    </xf>
    <xf numFmtId="0" fontId="8" fillId="2" borderId="0" xfId="0" applyFont="1" applyFill="1" applyAlignment="1">
      <alignment horizontal="center" vertical="center" wrapText="1"/>
    </xf>
    <xf numFmtId="0" fontId="0" fillId="2" borderId="15" xfId="0" applyFill="1" applyBorder="1" applyProtection="1">
      <protection locked="0"/>
    </xf>
  </cellXfs>
  <cellStyles count="3">
    <cellStyle name="Komma" xfId="1" builtinId="3"/>
    <cellStyle name="Procent" xfId="2" builtinId="5"/>
    <cellStyle name="Standaard" xfId="0" builtinId="0"/>
  </cellStyles>
  <dxfs count="111">
    <dxf>
      <fill>
        <patternFill>
          <bgColor theme="4" tint="0.59996337778862885"/>
        </patternFill>
      </fill>
      <border>
        <left style="hair">
          <color auto="1"/>
        </left>
        <right style="hair">
          <color auto="1"/>
        </right>
        <top style="hair">
          <color auto="1"/>
        </top>
        <bottom style="hair">
          <color auto="1"/>
        </bottom>
        <vertical/>
        <horizontal/>
      </border>
    </dxf>
    <dxf>
      <border>
        <top style="thin">
          <color auto="1"/>
        </top>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border>
        <bottom style="thin">
          <color auto="1"/>
        </bottom>
        <vertical/>
        <horizontal/>
      </border>
    </dxf>
    <dxf>
      <border>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border>
        <top style="thin">
          <color auto="1"/>
        </top>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border>
        <bottom style="thin">
          <color auto="1"/>
        </bottom>
        <vertical/>
        <horizontal/>
      </border>
    </dxf>
    <dxf>
      <border>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ont>
        <color rgb="FFFF0000"/>
      </font>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0"/>
        </patternFill>
      </fill>
      <border>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patternType="none">
          <bgColor auto="1"/>
        </patternFill>
      </fill>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
      <font>
        <color auto="1"/>
      </font>
    </dxf>
    <dxf>
      <fill>
        <patternFill>
          <bgColor theme="4" tint="0.59996337778862885"/>
        </patternFill>
      </fill>
      <border>
        <left style="hair">
          <color auto="1"/>
        </left>
        <right style="hair">
          <color auto="1"/>
        </right>
        <top style="hair">
          <color auto="1"/>
        </top>
        <bottom style="hair">
          <color auto="1"/>
        </bottom>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border>
        <bottom style="thin">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0"/>
        </patternFill>
      </fill>
      <border>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border>
        <top style="thin">
          <color auto="1"/>
        </top>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0"/>
        </patternFill>
      </fill>
      <border>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0"/>
        </patternFill>
      </fill>
      <border>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border>
        <top style="thin">
          <color auto="1"/>
        </top>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border>
        <top style="thin">
          <color auto="1"/>
        </top>
        <vertical/>
        <horizontal/>
      </border>
    </dxf>
    <dxf>
      <fill>
        <patternFill patternType="none">
          <bgColor auto="1"/>
        </patternFill>
      </fill>
      <border>
        <left/>
        <right style="thin">
          <color auto="1"/>
        </right>
        <top/>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ont>
        <color rgb="FFFF0000"/>
      </font>
    </dxf>
    <dxf>
      <border>
        <bottom style="thin">
          <color auto="1"/>
        </bottom>
        <vertical/>
        <horizontal/>
      </border>
    </dxf>
    <dxf>
      <border>
        <bottom style="thin">
          <color auto="1"/>
        </bottom>
        <vertical/>
        <horizontal/>
      </border>
    </dxf>
    <dxf>
      <border>
        <bottom style="thin">
          <color auto="1"/>
        </bottom>
        <vertical/>
        <horizontal/>
      </border>
    </dxf>
    <dxf>
      <font>
        <color auto="1"/>
      </font>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fill>
        <patternFill>
          <bgColor theme="4" tint="0.59996337778862885"/>
        </patternFill>
      </fill>
      <border>
        <left style="hair">
          <color auto="1"/>
        </left>
        <right style="hair">
          <color auto="1"/>
        </right>
        <top style="hair">
          <color auto="1"/>
        </top>
        <bottom style="hair">
          <color auto="1"/>
        </bottom>
        <vertical/>
        <horizontal/>
      </border>
    </dxf>
    <dxf>
      <fill>
        <patternFill patternType="none">
          <bgColor auto="1"/>
        </patternFill>
      </fill>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dxf>
    <dxf>
      <font>
        <color auto="1"/>
      </font>
    </dxf>
    <dxf>
      <fill>
        <patternFill>
          <bgColor theme="4" tint="0.59996337778862885"/>
        </patternFill>
      </fill>
      <border>
        <left style="hair">
          <color auto="1"/>
        </left>
        <right style="hair">
          <color auto="1"/>
        </right>
        <top style="hair">
          <color auto="1"/>
        </top>
        <bottom style="hair">
          <color auto="1"/>
        </bottom>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fill>
        <patternFill>
          <bgColor theme="4" tint="0.59996337778862885"/>
        </patternFill>
      </fill>
      <border>
        <left style="hair">
          <color auto="1"/>
        </left>
        <right style="hair">
          <color auto="1"/>
        </right>
        <top style="hair">
          <color auto="1"/>
        </top>
        <bottom style="hair">
          <color auto="1"/>
        </bottom>
        <vertical/>
        <horizontal/>
      </border>
    </dxf>
    <dxf>
      <font>
        <color rgb="FFFF0000"/>
      </font>
    </dxf>
    <dxf>
      <border>
        <bottom style="thin">
          <color auto="1"/>
        </bottom>
        <vertical/>
        <horizontal/>
      </border>
    </dxf>
    <dxf>
      <border>
        <top style="thin">
          <color auto="1"/>
        </top>
        <vertical/>
        <horizontal/>
      </border>
    </dxf>
  </dxfs>
  <tableStyles count="0" defaultTableStyle="TableStyleMedium2" defaultPivotStyle="PivotStyleLight16"/>
  <colors>
    <mruColors>
      <color rgb="FFC20000"/>
      <color rgb="FF9A9B9D"/>
      <color rgb="FF9393FF"/>
      <color rgb="FFFFABAB"/>
      <color rgb="FF00008F"/>
      <color rgb="FFCDC5FB"/>
      <color rgb="FFB3B3FF"/>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819150</xdr:colOff>
      <xdr:row>158</xdr:row>
      <xdr:rowOff>19050</xdr:rowOff>
    </xdr:from>
    <xdr:to>
      <xdr:col>5</xdr:col>
      <xdr:colOff>364490</xdr:colOff>
      <xdr:row>160</xdr:row>
      <xdr:rowOff>0</xdr:rowOff>
    </xdr:to>
    <xdr:sp macro="" textlink="">
      <xdr:nvSpPr>
        <xdr:cNvPr id="18433" name="CommandButton1" hidden="1">
          <a:extLst>
            <a:ext uri="{63B3BB69-23CF-44E3-9099-C40C66FF867C}">
              <a14:compatExt xmlns:a14="http://schemas.microsoft.com/office/drawing/2010/main"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904875</xdr:colOff>
      <xdr:row>0</xdr:row>
      <xdr:rowOff>57150</xdr:rowOff>
    </xdr:from>
    <xdr:to>
      <xdr:col>8</xdr:col>
      <xdr:colOff>92585</xdr:colOff>
      <xdr:row>2</xdr:row>
      <xdr:rowOff>86958</xdr:rowOff>
    </xdr:to>
    <xdr:pic>
      <xdr:nvPicPr>
        <xdr:cNvPr id="3" name="Afbeelding 2">
          <a:extLst>
            <a:ext uri="{FF2B5EF4-FFF2-40B4-BE49-F238E27FC236}">
              <a16:creationId xmlns:a16="http://schemas.microsoft.com/office/drawing/2014/main" id="{F017ECB0-FB0E-49FD-8CAD-2A88223D0DCA}"/>
            </a:ext>
          </a:extLst>
        </xdr:cNvPr>
        <xdr:cNvPicPr>
          <a:picLocks noChangeAspect="1"/>
        </xdr:cNvPicPr>
      </xdr:nvPicPr>
      <xdr:blipFill>
        <a:blip xmlns:r="http://schemas.openxmlformats.org/officeDocument/2006/relationships" r:embed="rId1"/>
        <a:stretch>
          <a:fillRect/>
        </a:stretch>
      </xdr:blipFill>
      <xdr:spPr>
        <a:xfrm>
          <a:off x="5724525" y="57150"/>
          <a:ext cx="1106045" cy="414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219075</xdr:colOff>
      <xdr:row>101</xdr:row>
      <xdr:rowOff>123825</xdr:rowOff>
    </xdr:from>
    <xdr:to>
      <xdr:col>5</xdr:col>
      <xdr:colOff>628650</xdr:colOff>
      <xdr:row>103</xdr:row>
      <xdr:rowOff>95250</xdr:rowOff>
    </xdr:to>
    <xdr:sp macro="" textlink="">
      <xdr:nvSpPr>
        <xdr:cNvPr id="3073" name="CommandButton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819150</xdr:colOff>
      <xdr:row>0</xdr:row>
      <xdr:rowOff>66675</xdr:rowOff>
    </xdr:from>
    <xdr:to>
      <xdr:col>8</xdr:col>
      <xdr:colOff>16385</xdr:colOff>
      <xdr:row>2</xdr:row>
      <xdr:rowOff>98388</xdr:rowOff>
    </xdr:to>
    <xdr:pic>
      <xdr:nvPicPr>
        <xdr:cNvPr id="2" name="Afbeelding 1">
          <a:extLst>
            <a:ext uri="{FF2B5EF4-FFF2-40B4-BE49-F238E27FC236}">
              <a16:creationId xmlns:a16="http://schemas.microsoft.com/office/drawing/2014/main" id="{F9813869-4B29-410C-B7A8-10610DC2E0B2}"/>
            </a:ext>
          </a:extLst>
        </xdr:cNvPr>
        <xdr:cNvPicPr>
          <a:picLocks noChangeAspect="1"/>
        </xdr:cNvPicPr>
      </xdr:nvPicPr>
      <xdr:blipFill>
        <a:blip xmlns:r="http://schemas.openxmlformats.org/officeDocument/2006/relationships" r:embed="rId1"/>
        <a:stretch>
          <a:fillRect/>
        </a:stretch>
      </xdr:blipFill>
      <xdr:spPr>
        <a:xfrm>
          <a:off x="6334125" y="66675"/>
          <a:ext cx="1106045" cy="4146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219075</xdr:colOff>
      <xdr:row>101</xdr:row>
      <xdr:rowOff>123825</xdr:rowOff>
    </xdr:from>
    <xdr:to>
      <xdr:col>5</xdr:col>
      <xdr:colOff>628650</xdr:colOff>
      <xdr:row>103</xdr:row>
      <xdr:rowOff>95250</xdr:rowOff>
    </xdr:to>
    <xdr:sp macro="" textlink="">
      <xdr:nvSpPr>
        <xdr:cNvPr id="2" name="CommandButton1" hidden="1">
          <a:extLst>
            <a:ext uri="{63B3BB69-23CF-44E3-9099-C40C66FF867C}">
              <a14:compatExt xmlns:a14="http://schemas.microsoft.com/office/drawing/2010/main" spid="_x0000_s3073"/>
            </a:ext>
            <a:ext uri="{FF2B5EF4-FFF2-40B4-BE49-F238E27FC236}">
              <a16:creationId xmlns:a16="http://schemas.microsoft.com/office/drawing/2014/main" id="{0513A836-3CB7-4B6F-96ED-EC47E0076960}"/>
            </a:ext>
          </a:extLst>
        </xdr:cNvPr>
        <xdr:cNvSpPr/>
      </xdr:nvSpPr>
      <xdr:spPr bwMode="auto">
        <a:xfrm>
          <a:off x="3627120" y="12374880"/>
          <a:ext cx="1706880" cy="3124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819150</xdr:colOff>
      <xdr:row>0</xdr:row>
      <xdr:rowOff>57150</xdr:rowOff>
    </xdr:from>
    <xdr:to>
      <xdr:col>8</xdr:col>
      <xdr:colOff>16385</xdr:colOff>
      <xdr:row>2</xdr:row>
      <xdr:rowOff>85053</xdr:rowOff>
    </xdr:to>
    <xdr:pic>
      <xdr:nvPicPr>
        <xdr:cNvPr id="4" name="Afbeelding 3">
          <a:extLst>
            <a:ext uri="{FF2B5EF4-FFF2-40B4-BE49-F238E27FC236}">
              <a16:creationId xmlns:a16="http://schemas.microsoft.com/office/drawing/2014/main" id="{74728E7A-B0B8-4EF8-AC0C-2D931A87CB41}"/>
            </a:ext>
          </a:extLst>
        </xdr:cNvPr>
        <xdr:cNvPicPr>
          <a:picLocks noChangeAspect="1"/>
        </xdr:cNvPicPr>
      </xdr:nvPicPr>
      <xdr:blipFill>
        <a:blip xmlns:r="http://schemas.openxmlformats.org/officeDocument/2006/relationships" r:embed="rId1"/>
        <a:stretch>
          <a:fillRect/>
        </a:stretch>
      </xdr:blipFill>
      <xdr:spPr>
        <a:xfrm>
          <a:off x="6334125" y="57150"/>
          <a:ext cx="1106045" cy="4146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228600</xdr:colOff>
      <xdr:row>76</xdr:row>
      <xdr:rowOff>0</xdr:rowOff>
    </xdr:from>
    <xdr:to>
      <xdr:col>5</xdr:col>
      <xdr:colOff>19685</xdr:colOff>
      <xdr:row>77</xdr:row>
      <xdr:rowOff>129540</xdr:rowOff>
    </xdr:to>
    <xdr:sp macro="" textlink="">
      <xdr:nvSpPr>
        <xdr:cNvPr id="10241" name="CommandButton1" hidden="1">
          <a:extLst>
            <a:ext uri="{63B3BB69-23CF-44E3-9099-C40C66FF867C}">
              <a14:compatExt xmlns:a14="http://schemas.microsoft.com/office/drawing/2010/main"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895350</xdr:colOff>
      <xdr:row>0</xdr:row>
      <xdr:rowOff>47625</xdr:rowOff>
    </xdr:from>
    <xdr:to>
      <xdr:col>7</xdr:col>
      <xdr:colOff>92585</xdr:colOff>
      <xdr:row>2</xdr:row>
      <xdr:rowOff>67908</xdr:rowOff>
    </xdr:to>
    <xdr:pic>
      <xdr:nvPicPr>
        <xdr:cNvPr id="2" name="Afbeelding 1">
          <a:extLst>
            <a:ext uri="{FF2B5EF4-FFF2-40B4-BE49-F238E27FC236}">
              <a16:creationId xmlns:a16="http://schemas.microsoft.com/office/drawing/2014/main" id="{D5CB4454-C891-4B75-92B8-42FD095C791B}"/>
            </a:ext>
          </a:extLst>
        </xdr:cNvPr>
        <xdr:cNvPicPr>
          <a:picLocks noChangeAspect="1"/>
        </xdr:cNvPicPr>
      </xdr:nvPicPr>
      <xdr:blipFill>
        <a:blip xmlns:r="http://schemas.openxmlformats.org/officeDocument/2006/relationships" r:embed="rId1"/>
        <a:stretch>
          <a:fillRect/>
        </a:stretch>
      </xdr:blipFill>
      <xdr:spPr>
        <a:xfrm>
          <a:off x="5486400" y="47625"/>
          <a:ext cx="1106045" cy="4146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66675</xdr:colOff>
      <xdr:row>132</xdr:row>
      <xdr:rowOff>38100</xdr:rowOff>
    </xdr:from>
    <xdr:to>
      <xdr:col>4</xdr:col>
      <xdr:colOff>514350</xdr:colOff>
      <xdr:row>133</xdr:row>
      <xdr:rowOff>133350</xdr:rowOff>
    </xdr:to>
    <xdr:sp macro="" textlink="">
      <xdr:nvSpPr>
        <xdr:cNvPr id="2" name="CommandButton1" hidden="1">
          <a:extLst>
            <a:ext uri="{63B3BB69-23CF-44E3-9099-C40C66FF867C}">
              <a14:compatExt xmlns:a14="http://schemas.microsoft.com/office/drawing/2010/main" spid="_x0000_s19457"/>
            </a:ext>
            <a:ext uri="{FF2B5EF4-FFF2-40B4-BE49-F238E27FC236}">
              <a16:creationId xmlns:a16="http://schemas.microsoft.com/office/drawing/2014/main" id="{537D0FF6-0E66-4AD4-809F-4D0AD774F76A}"/>
            </a:ext>
          </a:extLst>
        </xdr:cNvPr>
        <xdr:cNvSpPr/>
      </xdr:nvSpPr>
      <xdr:spPr bwMode="auto">
        <a:xfrm>
          <a:off x="2790825" y="11039475"/>
          <a:ext cx="1196340" cy="26289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600075</xdr:colOff>
      <xdr:row>0</xdr:row>
      <xdr:rowOff>85725</xdr:rowOff>
    </xdr:from>
    <xdr:to>
      <xdr:col>8</xdr:col>
      <xdr:colOff>326900</xdr:colOff>
      <xdr:row>2</xdr:row>
      <xdr:rowOff>104103</xdr:rowOff>
    </xdr:to>
    <xdr:pic>
      <xdr:nvPicPr>
        <xdr:cNvPr id="4" name="Afbeelding 3">
          <a:extLst>
            <a:ext uri="{FF2B5EF4-FFF2-40B4-BE49-F238E27FC236}">
              <a16:creationId xmlns:a16="http://schemas.microsoft.com/office/drawing/2014/main" id="{7D852003-F438-4524-BD25-5512486BECB2}"/>
            </a:ext>
          </a:extLst>
        </xdr:cNvPr>
        <xdr:cNvPicPr>
          <a:picLocks noChangeAspect="1"/>
        </xdr:cNvPicPr>
      </xdr:nvPicPr>
      <xdr:blipFill>
        <a:blip xmlns:r="http://schemas.openxmlformats.org/officeDocument/2006/relationships" r:embed="rId1"/>
        <a:stretch>
          <a:fillRect/>
        </a:stretch>
      </xdr:blipFill>
      <xdr:spPr>
        <a:xfrm>
          <a:off x="5981700" y="85725"/>
          <a:ext cx="1106045" cy="4146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628650</xdr:colOff>
      <xdr:row>83</xdr:row>
      <xdr:rowOff>28575</xdr:rowOff>
    </xdr:from>
    <xdr:to>
      <xdr:col>5</xdr:col>
      <xdr:colOff>381000</xdr:colOff>
      <xdr:row>84</xdr:row>
      <xdr:rowOff>135255</xdr:rowOff>
    </xdr:to>
    <xdr:sp macro="" textlink="">
      <xdr:nvSpPr>
        <xdr:cNvPr id="2" name="CommandButton1" hidden="1">
          <a:extLst>
            <a:ext uri="{63B3BB69-23CF-44E3-9099-C40C66FF867C}">
              <a14:compatExt xmlns:a14="http://schemas.microsoft.com/office/drawing/2010/main" spid="_x0000_s17409"/>
            </a:ext>
            <a:ext uri="{FF2B5EF4-FFF2-40B4-BE49-F238E27FC236}">
              <a16:creationId xmlns:a16="http://schemas.microsoft.com/office/drawing/2014/main" id="{BA46DA8D-A4F7-4E84-9DF8-526DF445D4CD}"/>
            </a:ext>
          </a:extLst>
        </xdr:cNvPr>
        <xdr:cNvSpPr/>
      </xdr:nvSpPr>
      <xdr:spPr bwMode="auto">
        <a:xfrm>
          <a:off x="3352800" y="8924925"/>
          <a:ext cx="1457325" cy="27432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3</xdr:col>
      <xdr:colOff>66675</xdr:colOff>
      <xdr:row>82</xdr:row>
      <xdr:rowOff>38100</xdr:rowOff>
    </xdr:from>
    <xdr:to>
      <xdr:col>4</xdr:col>
      <xdr:colOff>514350</xdr:colOff>
      <xdr:row>83</xdr:row>
      <xdr:rowOff>133350</xdr:rowOff>
    </xdr:to>
    <xdr:sp macro="" textlink="">
      <xdr:nvSpPr>
        <xdr:cNvPr id="4" name="CommandButton1" hidden="1">
          <a:extLst>
            <a:ext uri="{63B3BB69-23CF-44E3-9099-C40C66FF867C}">
              <a14:compatExt xmlns:a14="http://schemas.microsoft.com/office/drawing/2010/main" spid="_x0000_s19457"/>
            </a:ext>
            <a:ext uri="{FF2B5EF4-FFF2-40B4-BE49-F238E27FC236}">
              <a16:creationId xmlns:a16="http://schemas.microsoft.com/office/drawing/2014/main" id="{06306979-B24A-41E1-A5D6-54826C90F911}"/>
            </a:ext>
          </a:extLst>
        </xdr:cNvPr>
        <xdr:cNvSpPr/>
      </xdr:nvSpPr>
      <xdr:spPr bwMode="auto">
        <a:xfrm>
          <a:off x="2790825" y="11201400"/>
          <a:ext cx="1196340" cy="26289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6</xdr:col>
      <xdr:colOff>342900</xdr:colOff>
      <xdr:row>0</xdr:row>
      <xdr:rowOff>76200</xdr:rowOff>
    </xdr:from>
    <xdr:to>
      <xdr:col>7</xdr:col>
      <xdr:colOff>496445</xdr:colOff>
      <xdr:row>2</xdr:row>
      <xdr:rowOff>96483</xdr:rowOff>
    </xdr:to>
    <xdr:pic>
      <xdr:nvPicPr>
        <xdr:cNvPr id="5" name="Afbeelding 4">
          <a:extLst>
            <a:ext uri="{FF2B5EF4-FFF2-40B4-BE49-F238E27FC236}">
              <a16:creationId xmlns:a16="http://schemas.microsoft.com/office/drawing/2014/main" id="{2E08522E-7233-4079-987D-474D88EB0BCC}"/>
            </a:ext>
          </a:extLst>
        </xdr:cNvPr>
        <xdr:cNvPicPr>
          <a:picLocks noChangeAspect="1"/>
        </xdr:cNvPicPr>
      </xdr:nvPicPr>
      <xdr:blipFill>
        <a:blip xmlns:r="http://schemas.openxmlformats.org/officeDocument/2006/relationships" r:embed="rId1"/>
        <a:stretch>
          <a:fillRect/>
        </a:stretch>
      </xdr:blipFill>
      <xdr:spPr>
        <a:xfrm>
          <a:off x="5657850" y="76200"/>
          <a:ext cx="1106045" cy="414618"/>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8"/>
  <dimension ref="A1:V162"/>
  <sheetViews>
    <sheetView tabSelected="1" topLeftCell="A14" zoomScaleNormal="100" workbookViewId="0">
      <selection activeCell="C16" sqref="C16"/>
    </sheetView>
  </sheetViews>
  <sheetFormatPr defaultColWidth="0" defaultRowHeight="0" customHeight="1" zeroHeight="1" x14ac:dyDescent="0.25"/>
  <cols>
    <col min="1" max="1" width="12.33203125" customWidth="1"/>
    <col min="2" max="3" width="14.33203125" customWidth="1"/>
    <col min="4" max="4" width="13.6640625" customWidth="1"/>
    <col min="5" max="5" width="3.44140625" customWidth="1"/>
    <col min="6" max="7" width="14.33203125" customWidth="1"/>
    <col min="8" max="8" width="14.44140625" customWidth="1"/>
    <col min="9" max="9" width="2.6640625" style="8" customWidth="1"/>
    <col min="10" max="10" width="2" style="19" customWidth="1"/>
    <col min="11" max="15" width="13.6640625" style="10" customWidth="1"/>
    <col min="16" max="17" width="13.6640625" style="8" hidden="1" customWidth="1"/>
    <col min="18" max="18" width="10.33203125" hidden="1" customWidth="1"/>
    <col min="19" max="19" width="9.44140625" hidden="1" customWidth="1"/>
    <col min="20" max="20" width="10.44140625" hidden="1" customWidth="1"/>
    <col min="21" max="21" width="9.33203125" hidden="1" customWidth="1"/>
    <col min="22" max="22" width="9.44140625" hidden="1" customWidth="1"/>
    <col min="23" max="16384" width="9.33203125" hidden="1"/>
  </cols>
  <sheetData>
    <row r="1" spans="1:21" ht="13.2" x14ac:dyDescent="0.25">
      <c r="A1" s="84" t="s">
        <v>131</v>
      </c>
      <c r="B1" s="8"/>
      <c r="C1" s="8"/>
      <c r="D1" s="8"/>
      <c r="E1" s="8"/>
      <c r="F1" s="8"/>
      <c r="G1" s="8"/>
      <c r="H1" s="8"/>
      <c r="K1" s="19"/>
      <c r="L1" s="19"/>
      <c r="M1" s="19"/>
      <c r="N1" s="19"/>
      <c r="O1" s="19"/>
    </row>
    <row r="2" spans="1:21" ht="17.399999999999999" x14ac:dyDescent="0.3">
      <c r="A2" s="23" t="s">
        <v>0</v>
      </c>
      <c r="B2" s="8"/>
      <c r="C2" s="8"/>
      <c r="D2" s="151" t="s">
        <v>129</v>
      </c>
      <c r="E2" s="152"/>
      <c r="F2" s="8"/>
      <c r="G2" s="8"/>
      <c r="H2" s="8"/>
      <c r="K2" s="19"/>
      <c r="L2" s="19"/>
      <c r="M2" s="19"/>
      <c r="N2" s="19"/>
      <c r="O2" s="19"/>
      <c r="U2" s="24"/>
    </row>
    <row r="3" spans="1:21" ht="13.2" x14ac:dyDescent="0.25">
      <c r="A3" s="8"/>
      <c r="B3" s="8"/>
      <c r="C3" s="8"/>
      <c r="D3" s="8"/>
      <c r="E3" s="8"/>
      <c r="F3" s="8"/>
      <c r="G3" s="8"/>
      <c r="H3" s="8"/>
      <c r="K3" s="19"/>
      <c r="L3" s="19"/>
      <c r="M3" s="19"/>
      <c r="N3" s="19"/>
      <c r="O3" s="19"/>
    </row>
    <row r="4" spans="1:21" ht="13.2" x14ac:dyDescent="0.25">
      <c r="A4" s="25" t="s">
        <v>1</v>
      </c>
      <c r="B4" s="8"/>
      <c r="C4" s="8"/>
      <c r="D4" s="8"/>
      <c r="E4" s="8"/>
      <c r="F4" s="25" t="s">
        <v>2</v>
      </c>
      <c r="G4" s="8"/>
      <c r="H4" s="8"/>
      <c r="K4" s="19"/>
      <c r="L4" s="19"/>
      <c r="M4" s="19"/>
      <c r="N4" s="19"/>
      <c r="O4" s="19"/>
    </row>
    <row r="5" spans="1:21" ht="13.2" x14ac:dyDescent="0.25">
      <c r="A5" s="8" t="s">
        <v>3</v>
      </c>
      <c r="B5" s="153"/>
      <c r="C5" s="153"/>
      <c r="D5" s="153"/>
      <c r="E5" s="8"/>
      <c r="F5" s="8" t="s">
        <v>4</v>
      </c>
      <c r="G5" s="153"/>
      <c r="H5" s="153"/>
      <c r="K5" s="19"/>
      <c r="L5" s="19"/>
      <c r="M5" s="19"/>
      <c r="N5" s="19"/>
      <c r="O5" s="19"/>
    </row>
    <row r="6" spans="1:21" ht="13.2" x14ac:dyDescent="0.25">
      <c r="A6" s="8" t="s">
        <v>5</v>
      </c>
      <c r="B6" s="153"/>
      <c r="C6" s="153"/>
      <c r="D6" s="153"/>
      <c r="E6" s="8"/>
      <c r="F6" s="8" t="s">
        <v>6</v>
      </c>
      <c r="G6" s="153"/>
      <c r="H6" s="153"/>
      <c r="K6" s="19"/>
      <c r="L6" s="19"/>
      <c r="M6" s="19"/>
      <c r="N6" s="19"/>
      <c r="O6" s="19"/>
    </row>
    <row r="7" spans="1:21" ht="13.2" x14ac:dyDescent="0.25">
      <c r="A7" s="8" t="s">
        <v>7</v>
      </c>
      <c r="B7" s="154"/>
      <c r="C7" s="153"/>
      <c r="D7" s="153"/>
      <c r="E7" s="8"/>
      <c r="F7" s="8"/>
      <c r="G7" s="8"/>
      <c r="H7" s="8"/>
      <c r="K7" s="19"/>
      <c r="L7" s="19"/>
      <c r="M7" s="19"/>
      <c r="N7" s="19"/>
      <c r="O7" s="19"/>
      <c r="U7" s="11"/>
    </row>
    <row r="8" spans="1:21" ht="13.2" x14ac:dyDescent="0.25">
      <c r="A8" s="8"/>
      <c r="B8" s="26"/>
      <c r="C8" s="8"/>
      <c r="D8" s="8"/>
      <c r="E8" s="8"/>
      <c r="F8" s="8"/>
      <c r="G8" s="8"/>
      <c r="H8" s="8"/>
      <c r="K8" s="19"/>
      <c r="L8" s="19"/>
      <c r="M8" s="19"/>
      <c r="N8" s="19"/>
      <c r="O8" s="19"/>
      <c r="U8" s="11"/>
    </row>
    <row r="9" spans="1:21" ht="13.2" x14ac:dyDescent="0.25">
      <c r="A9" s="8" t="s">
        <v>8</v>
      </c>
      <c r="B9" s="11"/>
      <c r="C9" s="4"/>
      <c r="D9" s="8" t="s">
        <v>9</v>
      </c>
      <c r="E9" s="8"/>
      <c r="F9" s="8"/>
      <c r="G9" s="116"/>
      <c r="H9" s="8"/>
      <c r="K9" s="19"/>
      <c r="L9" s="19"/>
      <c r="M9" s="19"/>
      <c r="N9" s="19"/>
      <c r="O9" s="19"/>
      <c r="U9" s="11"/>
    </row>
    <row r="10" spans="1:21" ht="13.8" thickBot="1" x14ac:dyDescent="0.3">
      <c r="A10" s="27"/>
      <c r="B10" s="27"/>
      <c r="C10" s="27"/>
      <c r="D10" s="27"/>
      <c r="E10" s="27"/>
      <c r="F10" s="27"/>
      <c r="G10" s="27"/>
      <c r="H10" s="27"/>
      <c r="I10" s="27"/>
      <c r="J10" s="28"/>
      <c r="K10" s="71" t="s">
        <v>10</v>
      </c>
      <c r="L10" s="28"/>
      <c r="M10" s="28"/>
      <c r="N10" s="28"/>
      <c r="O10" s="28"/>
      <c r="S10" s="102"/>
    </row>
    <row r="11" spans="1:21" ht="12.75" customHeight="1" x14ac:dyDescent="0.25">
      <c r="A11" s="8"/>
      <c r="B11" s="8"/>
      <c r="C11" s="8"/>
      <c r="D11" s="8"/>
      <c r="E11" s="8"/>
      <c r="F11" s="8"/>
      <c r="G11" s="8"/>
      <c r="H11" s="8"/>
      <c r="K11" s="155" t="s">
        <v>11</v>
      </c>
      <c r="L11" s="155"/>
      <c r="M11" s="155"/>
      <c r="N11" s="155"/>
      <c r="O11" s="155"/>
      <c r="P11" s="29"/>
      <c r="Q11" s="29"/>
    </row>
    <row r="12" spans="1:21" ht="13.2" x14ac:dyDescent="0.25">
      <c r="A12" s="11"/>
      <c r="B12" s="16"/>
      <c r="C12" s="156" t="s">
        <v>12</v>
      </c>
      <c r="D12" s="156"/>
      <c r="E12" s="120"/>
      <c r="F12" s="8"/>
      <c r="G12" s="8"/>
      <c r="H12" s="126"/>
      <c r="K12" s="147"/>
      <c r="L12" s="147"/>
      <c r="M12" s="147"/>
      <c r="N12" s="147"/>
      <c r="O12" s="147"/>
      <c r="P12" s="29"/>
      <c r="Q12" s="29"/>
    </row>
    <row r="13" spans="1:21" ht="12.75" customHeight="1" x14ac:dyDescent="0.25">
      <c r="A13" s="11"/>
      <c r="B13" s="30"/>
      <c r="C13" s="31" t="s">
        <v>13</v>
      </c>
      <c r="D13" s="31" t="s">
        <v>14</v>
      </c>
      <c r="E13" s="31"/>
      <c r="F13" s="32" t="e">
        <f>40/(940/C9)</f>
        <v>#DIV/0!</v>
      </c>
      <c r="G13" s="128"/>
      <c r="H13" s="127"/>
      <c r="I13" s="31"/>
      <c r="J13" s="33"/>
      <c r="K13" s="147"/>
      <c r="L13" s="147"/>
      <c r="M13" s="147"/>
      <c r="N13" s="147"/>
      <c r="O13" s="147"/>
      <c r="P13" s="29"/>
      <c r="Q13" s="29"/>
    </row>
    <row r="14" spans="1:21" ht="12.75" customHeight="1" x14ac:dyDescent="0.25">
      <c r="A14" s="11"/>
      <c r="B14" s="8" t="s">
        <v>15</v>
      </c>
      <c r="C14" s="1"/>
      <c r="D14" s="2"/>
      <c r="E14" s="31"/>
      <c r="F14" s="8"/>
      <c r="G14" s="34"/>
      <c r="H14" s="125"/>
      <c r="I14" s="34"/>
      <c r="J14" s="35"/>
      <c r="K14" s="147"/>
      <c r="L14" s="147"/>
      <c r="M14" s="147"/>
      <c r="N14" s="147"/>
      <c r="O14" s="147"/>
      <c r="P14" s="29"/>
      <c r="Q14" s="29"/>
    </row>
    <row r="15" spans="1:21" ht="13.2" x14ac:dyDescent="0.25">
      <c r="A15" s="11"/>
      <c r="B15" s="8" t="s">
        <v>16</v>
      </c>
      <c r="C15" s="1"/>
      <c r="D15" s="2"/>
      <c r="E15" s="31"/>
      <c r="F15" s="8"/>
      <c r="G15" s="34"/>
      <c r="H15" s="34"/>
      <c r="I15" s="34"/>
      <c r="J15" s="35"/>
      <c r="K15" s="147"/>
      <c r="L15" s="147"/>
      <c r="M15" s="147"/>
      <c r="N15" s="147"/>
      <c r="O15" s="147"/>
      <c r="P15" s="29"/>
      <c r="Q15" s="29"/>
    </row>
    <row r="16" spans="1:21" ht="12.75" customHeight="1" x14ac:dyDescent="0.25">
      <c r="A16" s="11"/>
      <c r="B16" s="8" t="s">
        <v>17</v>
      </c>
      <c r="C16" s="1"/>
      <c r="D16" s="2"/>
      <c r="E16" s="31"/>
      <c r="F16" s="8"/>
      <c r="G16" s="34"/>
      <c r="H16" s="125"/>
      <c r="I16" s="34"/>
      <c r="J16" s="35"/>
      <c r="K16" s="147" t="s">
        <v>18</v>
      </c>
      <c r="L16" s="147"/>
      <c r="M16" s="147"/>
      <c r="N16" s="147"/>
      <c r="O16" s="147"/>
      <c r="P16" s="29"/>
      <c r="Q16" s="29"/>
    </row>
    <row r="17" spans="1:22" ht="12.75" customHeight="1" x14ac:dyDescent="0.25">
      <c r="A17" s="11"/>
      <c r="B17" s="8" t="s">
        <v>19</v>
      </c>
      <c r="C17" s="1"/>
      <c r="D17" s="2"/>
      <c r="E17" s="31"/>
      <c r="F17" s="8"/>
      <c r="G17" s="124"/>
      <c r="H17" s="124"/>
      <c r="I17" s="34"/>
      <c r="J17" s="35"/>
      <c r="K17" s="147"/>
      <c r="L17" s="147"/>
      <c r="M17" s="147"/>
      <c r="N17" s="147"/>
      <c r="O17" s="147"/>
      <c r="P17" s="29"/>
      <c r="Q17" s="29"/>
    </row>
    <row r="18" spans="1:22" ht="12.75" customHeight="1" x14ac:dyDescent="0.25">
      <c r="A18" s="11"/>
      <c r="B18" s="8" t="s">
        <v>20</v>
      </c>
      <c r="C18" s="1"/>
      <c r="D18" s="2"/>
      <c r="E18" s="31"/>
      <c r="F18" s="8"/>
      <c r="G18" s="34"/>
      <c r="H18" s="124"/>
      <c r="I18" s="34"/>
      <c r="J18" s="35"/>
      <c r="K18" s="147"/>
      <c r="L18" s="147"/>
      <c r="M18" s="147"/>
      <c r="N18" s="147"/>
      <c r="O18" s="147"/>
      <c r="P18" s="29"/>
      <c r="Q18" s="29"/>
    </row>
    <row r="19" spans="1:22" ht="13.2" x14ac:dyDescent="0.25">
      <c r="A19" s="11"/>
      <c r="B19" s="11" t="s">
        <v>21</v>
      </c>
      <c r="C19" s="36">
        <f>SUM(C14:C18)</f>
        <v>0</v>
      </c>
      <c r="D19" s="36">
        <f>SUM(D14:D18)</f>
        <v>0</v>
      </c>
      <c r="E19" s="31"/>
      <c r="F19" s="37"/>
      <c r="G19" s="36"/>
      <c r="H19" s="36"/>
      <c r="I19" s="37"/>
      <c r="J19" s="38"/>
      <c r="K19" s="147"/>
      <c r="L19" s="147"/>
      <c r="M19" s="147"/>
      <c r="N19" s="147"/>
      <c r="O19" s="147"/>
      <c r="P19" s="29"/>
      <c r="Q19" s="29"/>
    </row>
    <row r="20" spans="1:22" ht="12.75" customHeight="1" x14ac:dyDescent="0.25">
      <c r="A20" s="11"/>
      <c r="B20" s="87" t="str">
        <f>IF(OR(C33&gt;0,H30&gt;0),"Totaal exclusief verlofuren","")</f>
        <v/>
      </c>
      <c r="C20" s="31"/>
      <c r="D20" s="86" t="str">
        <f>IF(B20="","",C47/C9)</f>
        <v/>
      </c>
      <c r="E20" s="31"/>
      <c r="F20" s="157" t="str">
        <f>IF(C33&gt;0,"Werktijdfactor exclusief verlof duurzame inzetbaarheid:",IF(H30&gt;0,"Werktijdfactor exclusief ouderschapsverlof:",""))</f>
        <v/>
      </c>
      <c r="G20" s="157"/>
      <c r="H20" s="158" t="str">
        <f>IF(C33&gt;0,FLOOR((LEFT(H23,2)/40-(H49/1659))*40,1)&amp;" uur"&amp;IF((ROUND(((LEFT(H23,2)/40-(H49/1659))*40-FLOOR((LEFT(H23,2)/40-(H49/1659))*40,1))*60,0))=0,""," en "&amp;ROUND(((LEFT(H23,2)/40-(H49/1659))*40-FLOOR((LEFT(H23,2)/40-(H49/1659))*40,1))*60,0)&amp;" minuten"),IF(H30&gt;0,FLOOR((LEFT(H23,2)/40-(H49/1659))*40,1)&amp;" uur"&amp;IF((ROUND(((LEFT(H23,2)/40-(H49/1659))*40-FLOOR((LEFT(H23,2)/40-(H49/1659))*40,1))*60,0))=0,""," en "&amp;ROUND(((LEFT(H23,2)/40-(H49/1659))*40-FLOOR((LEFT(H23,2)/40-(H49/1659))*40,1))*60,0)&amp;" minuten"),""))</f>
        <v/>
      </c>
      <c r="I20" s="37"/>
      <c r="J20" s="38"/>
      <c r="K20" s="84"/>
      <c r="L20" s="119"/>
      <c r="M20" s="119"/>
      <c r="N20" s="119"/>
      <c r="O20" s="119"/>
      <c r="P20" s="29"/>
      <c r="Q20" s="29"/>
      <c r="S20" s="129">
        <f ca="1">YEAR(NOW())-YEAR(C31)</f>
        <v>126</v>
      </c>
      <c r="T20">
        <f ca="1">YEAR(NOW())</f>
        <v>2026</v>
      </c>
    </row>
    <row r="21" spans="1:22" ht="12.75" customHeight="1" x14ac:dyDescent="0.25">
      <c r="A21" s="11"/>
      <c r="B21" s="11"/>
      <c r="C21" s="11"/>
      <c r="D21" s="85"/>
      <c r="E21" s="31"/>
      <c r="F21" s="157"/>
      <c r="G21" s="157"/>
      <c r="H21" s="158"/>
      <c r="I21" s="11"/>
      <c r="J21" s="39"/>
      <c r="K21" s="83"/>
      <c r="L21" s="40"/>
      <c r="M21" s="40"/>
      <c r="N21" s="40"/>
      <c r="O21" s="40"/>
      <c r="P21" s="29"/>
      <c r="Q21" s="29"/>
      <c r="S21" s="41">
        <v>21459</v>
      </c>
      <c r="T21" s="41">
        <f ca="1">DATE((T20-57),MONTH(C31),DAY(C31))</f>
        <v>25203</v>
      </c>
    </row>
    <row r="22" spans="1:22" ht="13.5" customHeight="1" thickBot="1" x14ac:dyDescent="0.3">
      <c r="A22" s="30" t="s">
        <v>22</v>
      </c>
      <c r="B22" s="30"/>
      <c r="C22" s="30"/>
      <c r="D22" s="30"/>
      <c r="E22" s="30"/>
      <c r="F22" s="30"/>
      <c r="G22" s="11"/>
      <c r="H22" s="11"/>
      <c r="I22" s="11"/>
      <c r="J22" s="39"/>
      <c r="K22" s="147" t="s">
        <v>23</v>
      </c>
      <c r="L22" s="147"/>
      <c r="M22" s="147"/>
      <c r="N22" s="147"/>
      <c r="O22" s="147"/>
      <c r="P22" s="29"/>
      <c r="Q22" s="29"/>
      <c r="S22" s="41"/>
      <c r="T22" t="str">
        <f>IF(C31="","",IF(C31&lt;=S21,"Overgangsregeling 56+",IF(C31&lt;=T21,"Basis en bijzonder budget","")))</f>
        <v/>
      </c>
    </row>
    <row r="23" spans="1:22" ht="12.75" customHeight="1" x14ac:dyDescent="0.25">
      <c r="A23" s="8" t="s">
        <v>24</v>
      </c>
      <c r="B23" s="11"/>
      <c r="C23" s="11"/>
      <c r="D23" s="17"/>
      <c r="E23" s="31"/>
      <c r="F23" s="148" t="s">
        <v>25</v>
      </c>
      <c r="G23" s="148"/>
      <c r="H23" s="149">
        <f>IFERROR(CEILING(IF(AND((D19*C9+D23-H29)&gt;940,(D19*C9+D23-H29)&lt;945),40+D24/41.475,IF((940/(ROUNDDOWN((D19+D23/C9-H29/C9)*F13,1))*((D19+D23/C9-H29/C9)*F13))&lt;945,(ROUNDDOWN((D19+D23/C9-H29/C9)*F13,1)),(D19+D23/C9-H29/C9)*F13)+D24/41.475),1)&amp;" uur",0)</f>
        <v>0</v>
      </c>
      <c r="I23" s="42"/>
      <c r="J23" s="43"/>
      <c r="K23" s="147"/>
      <c r="L23" s="147"/>
      <c r="M23" s="147"/>
      <c r="N23" s="147"/>
      <c r="O23" s="147"/>
      <c r="P23" s="29"/>
      <c r="Q23" s="29"/>
      <c r="T23" t="str">
        <f>IF(C31="","",IF(C31&lt;=S21,"Basis en bijzonder budget",IF(C31&lt;=T21,"Enkel basis budget","")))</f>
        <v/>
      </c>
    </row>
    <row r="24" spans="1:22" ht="13.5" customHeight="1" thickBot="1" x14ac:dyDescent="0.3">
      <c r="A24" s="8" t="s">
        <v>26</v>
      </c>
      <c r="B24" s="11"/>
      <c r="D24" s="17"/>
      <c r="E24" s="31"/>
      <c r="F24" s="148"/>
      <c r="G24" s="148"/>
      <c r="H24" s="150"/>
      <c r="I24" s="42"/>
      <c r="J24" s="43"/>
      <c r="K24" s="147"/>
      <c r="L24" s="147"/>
      <c r="M24" s="147"/>
      <c r="N24" s="147"/>
      <c r="O24" s="147"/>
      <c r="P24" s="29"/>
      <c r="Q24" s="29"/>
      <c r="R24" s="44"/>
      <c r="T24" t="str">
        <f>IF(C31="","",IF(C31&lt;=S21,"Enkel basis budget",""))</f>
        <v/>
      </c>
    </row>
    <row r="25" spans="1:22" ht="13.8" thickBot="1" x14ac:dyDescent="0.3">
      <c r="A25" s="45"/>
      <c r="B25" s="45"/>
      <c r="C25" s="45"/>
      <c r="D25" s="46"/>
      <c r="E25" s="46"/>
      <c r="F25" s="103" t="s">
        <v>27</v>
      </c>
      <c r="G25" s="104"/>
      <c r="H25" s="105" t="str">
        <f>IF(H23=0,"",LEFT(H23,2)/40)</f>
        <v/>
      </c>
      <c r="I25" s="45"/>
      <c r="J25" s="47"/>
      <c r="K25" s="48"/>
      <c r="L25" s="48"/>
      <c r="M25" s="48"/>
      <c r="N25" s="48"/>
      <c r="O25" s="48"/>
      <c r="P25" s="29"/>
      <c r="Q25" s="29"/>
    </row>
    <row r="26" spans="1:22" s="10" customFormat="1" ht="13.2" x14ac:dyDescent="0.25">
      <c r="A26" s="11"/>
      <c r="B26" s="11"/>
      <c r="C26" s="11"/>
      <c r="D26" s="8"/>
      <c r="E26" s="8"/>
      <c r="F26" s="11"/>
      <c r="G26" s="11"/>
      <c r="H26" s="11"/>
      <c r="I26" s="11"/>
      <c r="J26" s="39"/>
      <c r="K26" s="11"/>
      <c r="L26" s="11"/>
      <c r="M26" s="11"/>
      <c r="N26" s="11"/>
      <c r="O26" s="11"/>
      <c r="P26" s="49"/>
      <c r="Q26" s="49"/>
    </row>
    <row r="27" spans="1:22" ht="13.2" x14ac:dyDescent="0.25">
      <c r="A27" s="11" t="s">
        <v>28</v>
      </c>
      <c r="B27" s="11"/>
      <c r="C27" s="11"/>
      <c r="D27" s="8"/>
      <c r="E27" s="8"/>
      <c r="F27" s="11"/>
      <c r="G27" s="11"/>
      <c r="H27" s="11"/>
      <c r="I27" s="11"/>
      <c r="J27" s="39"/>
      <c r="K27" s="159" t="s">
        <v>29</v>
      </c>
      <c r="L27" s="159"/>
      <c r="M27" s="159"/>
      <c r="N27" s="159"/>
      <c r="O27" s="159"/>
      <c r="S27" t="s">
        <v>30</v>
      </c>
    </row>
    <row r="28" spans="1:22" ht="13.2" x14ac:dyDescent="0.25">
      <c r="A28" s="8" t="s">
        <v>102</v>
      </c>
      <c r="B28" s="11"/>
      <c r="C28" s="167"/>
      <c r="D28" s="167"/>
      <c r="E28" s="8"/>
      <c r="F28" s="11"/>
      <c r="G28" s="11"/>
      <c r="H28" s="11"/>
      <c r="I28" s="11"/>
      <c r="J28" s="39"/>
      <c r="K28" s="159"/>
      <c r="L28" s="159"/>
      <c r="M28" s="159"/>
      <c r="N28" s="159"/>
      <c r="O28" s="159"/>
    </row>
    <row r="29" spans="1:22" ht="13.2" x14ac:dyDescent="0.25">
      <c r="A29" s="8" t="s">
        <v>31</v>
      </c>
      <c r="B29" s="11"/>
      <c r="C29" s="167"/>
      <c r="D29" s="167"/>
      <c r="E29" s="8"/>
      <c r="F29" s="8" t="str">
        <f>IF(C29="ja","Aantal lesuren verlof per jaar","")</f>
        <v/>
      </c>
      <c r="G29" s="8"/>
      <c r="H29" s="5"/>
      <c r="I29" s="11"/>
      <c r="J29" s="39"/>
      <c r="K29" s="159"/>
      <c r="L29" s="159"/>
      <c r="M29" s="159"/>
      <c r="N29" s="159"/>
      <c r="O29" s="159"/>
      <c r="S29" t="s">
        <v>32</v>
      </c>
    </row>
    <row r="30" spans="1:22" ht="13.2" x14ac:dyDescent="0.25">
      <c r="A30" s="8" t="s">
        <v>33</v>
      </c>
      <c r="B30" s="11"/>
      <c r="C30" s="168"/>
      <c r="D30" s="169"/>
      <c r="E30" s="8"/>
      <c r="F30" s="8" t="str">
        <f>IF(C30="Ja","Werktijdfactor verlof","")</f>
        <v/>
      </c>
      <c r="G30" s="8"/>
      <c r="H30" s="5"/>
      <c r="I30" s="11"/>
      <c r="J30" s="39"/>
      <c r="K30" s="115"/>
      <c r="L30" s="115"/>
      <c r="M30" s="115"/>
      <c r="N30" s="115"/>
      <c r="O30" s="115"/>
    </row>
    <row r="31" spans="1:22" ht="13.2" customHeight="1" x14ac:dyDescent="0.25">
      <c r="A31" s="8" t="s">
        <v>34</v>
      </c>
      <c r="B31" s="11"/>
      <c r="C31" s="170"/>
      <c r="D31" s="170"/>
      <c r="E31" s="8"/>
      <c r="F31" s="171" t="str">
        <f>IF(C33&gt;0,"Verdeling uren PDI",IF(H30&gt;0,"Verdeling uren ouderschapsverlof",""))</f>
        <v/>
      </c>
      <c r="G31" s="171"/>
      <c r="H31" s="171"/>
      <c r="I31" s="11"/>
      <c r="J31" s="39"/>
      <c r="K31" s="173" t="s">
        <v>99</v>
      </c>
      <c r="L31" s="173"/>
      <c r="M31" s="173"/>
      <c r="N31" s="173"/>
      <c r="O31" s="173"/>
      <c r="P31" s="11"/>
      <c r="Q31" s="11"/>
      <c r="R31">
        <f>2014-1958</f>
        <v>56</v>
      </c>
      <c r="S31" t="s">
        <v>35</v>
      </c>
    </row>
    <row r="32" spans="1:22" ht="13.2" x14ac:dyDescent="0.25">
      <c r="A32" s="8" t="str">
        <f>IF(C31="","",IF($C$31&lt;$S$21,"Recht PDI",IF($C$31&lt;=$T$21,"Recht PDI","")))</f>
        <v/>
      </c>
      <c r="B32" s="11"/>
      <c r="C32" s="224"/>
      <c r="D32" s="224"/>
      <c r="E32" s="8"/>
      <c r="F32" s="31" t="str">
        <f>IF(OR(C33&gt;0,H30&gt;0),"Lesuren","")</f>
        <v/>
      </c>
      <c r="G32" s="31" t="str">
        <f>IF(OR(C33&gt;0,H30&gt;0),"v/n-werk","")</f>
        <v/>
      </c>
      <c r="H32" s="31" t="str">
        <f>IF(OR(C33&gt;0,H30&gt;0),"Taakuren","")</f>
        <v/>
      </c>
      <c r="I32" s="11"/>
      <c r="J32" s="51"/>
      <c r="K32" s="173"/>
      <c r="L32" s="173"/>
      <c r="M32" s="173"/>
      <c r="N32" s="173"/>
      <c r="O32" s="173"/>
      <c r="P32" s="11"/>
      <c r="Q32" s="11"/>
      <c r="S32" t="s">
        <v>36</v>
      </c>
      <c r="U32" s="89">
        <f>H30*1659</f>
        <v>0</v>
      </c>
      <c r="V32" s="89"/>
    </row>
    <row r="33" spans="1:22" ht="13.2" x14ac:dyDescent="0.25">
      <c r="A33" s="8" t="str">
        <f>IF(C32="","",IF(C32="Overgangsregeling 52+","Waarvan uren verlof",IF(C32="Overgangsregeling 56+","Waarvan uren verlof",IF(C32="Basis en bijzonder budget","Waarvan uren verlof",""))))</f>
        <v/>
      </c>
      <c r="B33" s="11"/>
      <c r="C33" s="5"/>
      <c r="D33" s="50" t="str">
        <f>IF(C32="Overgangsregeling 56+","Tussen "&amp;ROUND(170*LEFT(H23,2)/40,0)&amp;" en "&amp;ROUND(340*LEFT(H23,2)/40,0),IF(C32="Overgangsregeling 52+","Tussen 0 en "&amp;ROUND(170*LEFT(H23,2)/40,0),IF(C32="Basis en bijzonder budget","Tussen 0 en "&amp;ROUND(170*LEFT(H23,2)/40,0),"")))</f>
        <v/>
      </c>
      <c r="E33" s="50"/>
      <c r="F33" s="31" t="str">
        <f>IFERROR(ROUND(IF(C33&gt;0,U53,IF(H30&gt;0,U33*U32,"")),0),"")</f>
        <v/>
      </c>
      <c r="G33" s="31" t="str">
        <f>IFERROR(ROUND(IF(C33&gt;0,U54,IF(H30&gt;0,U34*U32,"")),0),"")</f>
        <v/>
      </c>
      <c r="H33" s="31" t="str">
        <f>IFERROR(ROUND(IF(C33&gt;0,U55,IF(H30&gt;0,U37*U32,"")),0),"")</f>
        <v/>
      </c>
      <c r="I33" s="11"/>
      <c r="J33" s="51"/>
      <c r="K33" s="173"/>
      <c r="L33" s="173"/>
      <c r="M33" s="173"/>
      <c r="N33" s="173"/>
      <c r="O33" s="173"/>
      <c r="P33" s="11"/>
      <c r="Q33" s="11"/>
      <c r="S33" s="88">
        <f>ROUND(IF(AND(D19*C9+D23-H29&gt;940,D19*C9+D23-H29&lt;945),940,D19*C9+D23-H29),0)</f>
        <v>0</v>
      </c>
      <c r="T33" s="89"/>
      <c r="U33" s="90" t="e">
        <f>S33/SUM($S$33:$S$37)</f>
        <v>#DIV/0!</v>
      </c>
      <c r="V33" s="89" t="e">
        <f>U33*$U$32</f>
        <v>#DIV/0!</v>
      </c>
    </row>
    <row r="34" spans="1:22" ht="13.8" thickBot="1" x14ac:dyDescent="0.3">
      <c r="A34" s="46"/>
      <c r="B34" s="45"/>
      <c r="C34" s="45"/>
      <c r="D34" s="93" t="str">
        <f>IF(H30&gt;0,"Professionalisering","")</f>
        <v/>
      </c>
      <c r="E34" s="46"/>
      <c r="F34" s="92" t="str">
        <f>IFERROR(ROUND(IF(H30&gt;0,U35*U32,""),0),"")</f>
        <v/>
      </c>
      <c r="G34" s="91" t="str">
        <f>IF(H30&gt;0,"Duurz. inzetb.","")</f>
        <v/>
      </c>
      <c r="H34" s="92" t="str">
        <f>IFERROR(ROUND(IF(H30&gt;0,U36*U32,""),0),"")</f>
        <v/>
      </c>
      <c r="I34" s="45"/>
      <c r="J34" s="69"/>
      <c r="K34" s="174"/>
      <c r="L34" s="174"/>
      <c r="M34" s="174"/>
      <c r="N34" s="174"/>
      <c r="O34" s="174"/>
      <c r="P34" s="11"/>
      <c r="Q34" s="11"/>
      <c r="S34" s="89">
        <f>ROUND(S53*G9,0)</f>
        <v>0</v>
      </c>
      <c r="T34" s="88">
        <f>S33+S34</f>
        <v>0</v>
      </c>
      <c r="U34" s="90" t="e">
        <f t="shared" ref="U34:U37" si="0">S34/SUM($S$33:$S$37)</f>
        <v>#DIV/0!</v>
      </c>
      <c r="V34" s="89" t="e">
        <f t="shared" ref="V34:V37" si="1">U34*$U$32</f>
        <v>#DIV/0!</v>
      </c>
    </row>
    <row r="35" spans="1:22" ht="13.2" x14ac:dyDescent="0.25">
      <c r="A35" s="8"/>
      <c r="B35" s="11"/>
      <c r="C35" s="11"/>
      <c r="D35" s="8"/>
      <c r="E35" s="8"/>
      <c r="F35" s="11"/>
      <c r="G35" s="11"/>
      <c r="H35" s="50"/>
      <c r="I35" s="50"/>
      <c r="J35" s="51"/>
      <c r="K35" s="114"/>
      <c r="L35" s="114"/>
      <c r="M35" s="114"/>
      <c r="N35" s="114"/>
      <c r="O35" s="114"/>
      <c r="P35" s="11"/>
      <c r="Q35" s="11"/>
      <c r="S35" s="88">
        <f>ROUND(LEFT(H23,2)/40*2*41.475,0)</f>
        <v>0</v>
      </c>
      <c r="T35" s="89"/>
      <c r="U35" s="90" t="e">
        <f t="shared" si="0"/>
        <v>#DIV/0!</v>
      </c>
      <c r="V35" s="89" t="e">
        <f t="shared" si="1"/>
        <v>#DIV/0!</v>
      </c>
    </row>
    <row r="36" spans="1:22" ht="13.2" x14ac:dyDescent="0.25">
      <c r="A36" s="11" t="s">
        <v>37</v>
      </c>
      <c r="B36" s="11"/>
      <c r="C36" s="11"/>
      <c r="D36" s="8"/>
      <c r="E36" s="8"/>
      <c r="F36" s="11"/>
      <c r="G36" s="11"/>
      <c r="H36" s="11"/>
      <c r="I36" s="11"/>
      <c r="J36" s="39"/>
      <c r="K36" s="11"/>
      <c r="L36" s="11"/>
      <c r="M36" s="11"/>
      <c r="N36" s="11"/>
      <c r="O36" s="11"/>
      <c r="P36" s="11"/>
      <c r="Q36" s="11"/>
      <c r="S36" s="88">
        <f>ROUND(IF(A33="",ROUND(LEFT(H23,2)/40*40,0),ROUND(VLOOKUP(C32,$S$46:$T$50,2,FALSE)*LEFT(H23,2)/40,0))-C33,0)</f>
        <v>0</v>
      </c>
      <c r="T36" s="89"/>
      <c r="U36" s="90" t="e">
        <f t="shared" si="0"/>
        <v>#DIV/0!</v>
      </c>
      <c r="V36" s="89" t="e">
        <f t="shared" si="1"/>
        <v>#DIV/0!</v>
      </c>
    </row>
    <row r="37" spans="1:22" ht="13.2" x14ac:dyDescent="0.25">
      <c r="A37" s="6" t="s">
        <v>38</v>
      </c>
      <c r="B37" s="11"/>
      <c r="C37" s="80"/>
      <c r="D37" s="8"/>
      <c r="E37" s="8"/>
      <c r="F37" s="11"/>
      <c r="G37" s="11"/>
      <c r="H37" s="11"/>
      <c r="I37" s="11"/>
      <c r="J37" s="39"/>
      <c r="K37" s="159" t="s">
        <v>39</v>
      </c>
      <c r="L37" s="159"/>
      <c r="M37" s="159"/>
      <c r="N37" s="159"/>
      <c r="O37" s="159"/>
      <c r="P37" s="11"/>
      <c r="Q37" s="11"/>
      <c r="S37" s="89">
        <f>IFERROR(ROUND(S55,0),0)</f>
        <v>0</v>
      </c>
      <c r="T37" s="89"/>
      <c r="U37" s="90" t="e">
        <f t="shared" si="0"/>
        <v>#DIV/0!</v>
      </c>
      <c r="V37" s="89" t="e">
        <f t="shared" si="1"/>
        <v>#DIV/0!</v>
      </c>
    </row>
    <row r="38" spans="1:22" ht="13.2" x14ac:dyDescent="0.25">
      <c r="A38" s="6" t="s">
        <v>40</v>
      </c>
      <c r="B38" s="11"/>
      <c r="C38" s="80"/>
      <c r="D38" s="8"/>
      <c r="E38" s="8"/>
      <c r="F38" s="11"/>
      <c r="G38" s="11"/>
      <c r="H38" s="11"/>
      <c r="I38" s="11"/>
      <c r="J38" s="39"/>
      <c r="K38" s="159"/>
      <c r="L38" s="159"/>
      <c r="M38" s="159"/>
      <c r="N38" s="159"/>
      <c r="O38" s="159"/>
      <c r="P38" s="11"/>
      <c r="Q38" s="11"/>
      <c r="S38" s="89"/>
      <c r="T38" s="89"/>
      <c r="U38" s="89"/>
      <c r="V38" s="89"/>
    </row>
    <row r="39" spans="1:22" ht="13.2" x14ac:dyDescent="0.25">
      <c r="A39" s="6" t="s">
        <v>41</v>
      </c>
      <c r="B39" s="11"/>
      <c r="C39" s="80"/>
      <c r="D39" s="8"/>
      <c r="E39" s="8"/>
      <c r="F39" s="11"/>
      <c r="G39" s="11"/>
      <c r="H39" s="11"/>
      <c r="I39" s="11"/>
      <c r="J39" s="39"/>
      <c r="K39" s="159"/>
      <c r="L39" s="159"/>
      <c r="M39" s="159"/>
      <c r="N39" s="159"/>
      <c r="O39" s="159"/>
      <c r="P39" s="11"/>
      <c r="Q39" s="11"/>
    </row>
    <row r="40" spans="1:22" ht="13.2" x14ac:dyDescent="0.25">
      <c r="A40" s="6" t="s">
        <v>42</v>
      </c>
      <c r="B40" s="11"/>
      <c r="C40" s="80"/>
      <c r="D40" s="8"/>
      <c r="E40" s="8"/>
      <c r="F40" s="11"/>
      <c r="G40" s="11"/>
      <c r="H40" s="11"/>
      <c r="I40" s="11"/>
      <c r="J40" s="39"/>
      <c r="K40" s="159"/>
      <c r="L40" s="159"/>
      <c r="M40" s="159"/>
      <c r="N40" s="159"/>
      <c r="O40" s="159"/>
      <c r="P40" s="11"/>
      <c r="Q40" s="11"/>
    </row>
    <row r="41" spans="1:22" ht="13.2" x14ac:dyDescent="0.25">
      <c r="A41" s="11" t="s">
        <v>21</v>
      </c>
      <c r="B41" s="11"/>
      <c r="C41" s="52">
        <f>SUM(C37:C40)</f>
        <v>0</v>
      </c>
      <c r="D41" s="8"/>
      <c r="E41" s="8"/>
      <c r="F41" s="11"/>
      <c r="G41" s="11"/>
      <c r="H41" s="11"/>
      <c r="I41" s="11"/>
      <c r="J41" s="39"/>
      <c r="K41" s="11"/>
      <c r="L41" s="11"/>
      <c r="M41" s="11"/>
      <c r="N41" s="11"/>
      <c r="O41" s="11"/>
      <c r="P41" s="11"/>
      <c r="Q41" s="11"/>
    </row>
    <row r="42" spans="1:22" ht="13.8" thickBot="1" x14ac:dyDescent="0.3">
      <c r="A42" s="53"/>
      <c r="B42" s="54"/>
      <c r="C42" s="54"/>
      <c r="D42" s="53"/>
      <c r="E42" s="53"/>
      <c r="F42" s="54"/>
      <c r="G42" s="54"/>
      <c r="H42" s="54"/>
      <c r="I42" s="70"/>
      <c r="J42" s="39"/>
      <c r="K42" s="54"/>
      <c r="L42" s="54"/>
      <c r="M42" s="54"/>
      <c r="N42" s="54"/>
      <c r="O42" s="54"/>
      <c r="P42" s="11"/>
      <c r="Q42" s="11"/>
    </row>
    <row r="43" spans="1:22" ht="13.2" x14ac:dyDescent="0.25">
      <c r="A43" s="11"/>
      <c r="B43" s="11"/>
      <c r="C43" s="11"/>
      <c r="D43" s="8"/>
      <c r="E43" s="8"/>
      <c r="F43" s="11"/>
      <c r="G43" s="11"/>
      <c r="H43" s="16"/>
      <c r="I43" s="16"/>
      <c r="J43" s="55"/>
      <c r="K43" s="39"/>
      <c r="L43" s="39"/>
      <c r="M43" s="39"/>
      <c r="N43" s="39"/>
      <c r="O43" s="55"/>
    </row>
    <row r="44" spans="1:22" ht="13.2" x14ac:dyDescent="0.25">
      <c r="A44" s="16" t="s">
        <v>43</v>
      </c>
      <c r="B44" s="11"/>
      <c r="C44" s="11"/>
      <c r="D44" s="8"/>
      <c r="E44" s="8"/>
      <c r="F44" s="11"/>
      <c r="G44" s="11"/>
      <c r="H44" s="16"/>
      <c r="I44" s="16"/>
      <c r="J44" s="55"/>
      <c r="K44" s="19"/>
      <c r="L44" s="19"/>
      <c r="M44" s="19"/>
      <c r="N44" s="19"/>
      <c r="O44" s="19"/>
      <c r="Q44" s="59">
        <f>C50+F158+C158</f>
        <v>0</v>
      </c>
    </row>
    <row r="45" spans="1:22" ht="13.2" x14ac:dyDescent="0.25">
      <c r="A45" s="16"/>
      <c r="B45" s="11"/>
      <c r="C45" s="11"/>
      <c r="D45" s="8"/>
      <c r="E45" s="8"/>
      <c r="F45" s="11"/>
      <c r="G45" s="16"/>
      <c r="H45" s="16"/>
      <c r="I45" s="16"/>
      <c r="J45" s="55"/>
      <c r="K45" s="19"/>
      <c r="L45" s="19"/>
      <c r="M45" s="19"/>
      <c r="N45" s="19"/>
      <c r="O45" s="19"/>
    </row>
    <row r="46" spans="1:22" ht="13.2" x14ac:dyDescent="0.25">
      <c r="A46" s="16" t="s">
        <v>44</v>
      </c>
      <c r="B46" s="8"/>
      <c r="C46" s="11"/>
      <c r="D46" s="8"/>
      <c r="F46" s="56" t="s">
        <v>45</v>
      </c>
      <c r="G46" s="11"/>
      <c r="H46" s="16"/>
      <c r="I46" s="16"/>
      <c r="J46" s="55"/>
      <c r="K46" s="19"/>
      <c r="L46" s="19"/>
      <c r="M46" s="19"/>
      <c r="N46" s="19"/>
      <c r="O46" s="19"/>
      <c r="S46" t="s">
        <v>46</v>
      </c>
      <c r="T46">
        <f>130+123</f>
        <v>253</v>
      </c>
      <c r="V46">
        <f>1659/40*41</f>
        <v>1700.4750000000001</v>
      </c>
    </row>
    <row r="47" spans="1:22" ht="13.2" x14ac:dyDescent="0.25">
      <c r="A47" s="8" t="s">
        <v>47</v>
      </c>
      <c r="C47" s="57">
        <f>IFERROR(ROUND(IF(H30&gt;0,S53-V33,S53-H49/SUM(S53:S55)*S53),0),0)</f>
        <v>0</v>
      </c>
      <c r="D47" s="58"/>
      <c r="E47" s="58"/>
      <c r="F47" s="165" t="str">
        <f>IF(C28="Ja","PDI incl. uren startende werknemer","Professionalisering en duurzame inzetbaarheid")</f>
        <v>Professionalisering en duurzame inzetbaarheid</v>
      </c>
      <c r="G47" s="165"/>
      <c r="H47" s="166">
        <f>IFERROR(ROUND(IF(A33="",ROUND(LEFT(H23,2)/40*IF(C28="Ja",163,123),0),ROUND(VLOOKUP(C32,$S$46:$T$50,2,FALSE)*LEFT(H23,2)/40,0))-C33-V36,0),0)</f>
        <v>0</v>
      </c>
      <c r="I47" s="59"/>
      <c r="J47" s="60"/>
      <c r="K47" s="19"/>
      <c r="L47" s="19"/>
      <c r="M47" s="19"/>
      <c r="N47" s="19"/>
      <c r="O47" s="19"/>
      <c r="S47" t="s">
        <v>48</v>
      </c>
      <c r="T47">
        <f>340+123</f>
        <v>463</v>
      </c>
    </row>
    <row r="48" spans="1:22" ht="13.2" x14ac:dyDescent="0.25">
      <c r="A48" s="8" t="s">
        <v>49</v>
      </c>
      <c r="B48" s="8"/>
      <c r="C48" s="57">
        <f>IFERROR(ROUND(IF(H30&gt;0,S54-V34,S54-H49/SUM(S53:S55)*S54),0),0)</f>
        <v>0</v>
      </c>
      <c r="D48" s="57"/>
      <c r="E48" s="57"/>
      <c r="F48" s="165"/>
      <c r="G48" s="165"/>
      <c r="H48" s="166"/>
      <c r="I48" s="59"/>
      <c r="J48" s="60"/>
      <c r="K48" s="61"/>
      <c r="L48" s="61"/>
      <c r="M48" s="61"/>
      <c r="N48" s="61"/>
      <c r="O48" s="61"/>
      <c r="P48" s="62"/>
      <c r="Q48" s="62"/>
      <c r="S48" t="s">
        <v>50</v>
      </c>
      <c r="T48">
        <f>IF(C28="Ja",40+130+123,130+123)</f>
        <v>253</v>
      </c>
    </row>
    <row r="49" spans="1:22" ht="13.8" thickBot="1" x14ac:dyDescent="0.3">
      <c r="A49" s="8" t="s">
        <v>51</v>
      </c>
      <c r="B49" s="8"/>
      <c r="C49" s="78">
        <f>C41</f>
        <v>0</v>
      </c>
      <c r="D49" s="57"/>
      <c r="E49" s="57"/>
      <c r="F49" s="8" t="str">
        <f>IF(C33&gt;0,"Verlof PDI",IF(H30&gt;0,"Ouderschapsverlof",""))</f>
        <v/>
      </c>
      <c r="G49" s="8"/>
      <c r="H49" s="59">
        <f>ROUND(IF(F49="",0,IF(C33&gt;0,C33,U32)),0)</f>
        <v>0</v>
      </c>
      <c r="J49" s="63"/>
      <c r="K49" s="61"/>
      <c r="L49" s="61"/>
      <c r="M49" s="61"/>
      <c r="N49" s="61"/>
      <c r="O49" s="61"/>
      <c r="P49" s="62"/>
      <c r="Q49" s="62"/>
    </row>
    <row r="50" spans="1:22" ht="13.8" thickBot="1" x14ac:dyDescent="0.3">
      <c r="A50" s="11" t="s">
        <v>52</v>
      </c>
      <c r="B50" s="11"/>
      <c r="C50" s="64">
        <f>SUM(C47:C49)</f>
        <v>0</v>
      </c>
      <c r="D50" s="14"/>
      <c r="E50" s="14"/>
      <c r="F50" s="11" t="s">
        <v>21</v>
      </c>
      <c r="G50" s="16"/>
      <c r="H50" s="65">
        <f>SUM(H47:H49)</f>
        <v>0</v>
      </c>
      <c r="I50" s="66"/>
      <c r="K50" s="19"/>
      <c r="L50" s="19"/>
      <c r="M50" s="19"/>
      <c r="N50" s="19"/>
      <c r="O50" s="19"/>
      <c r="S50" t="s">
        <v>53</v>
      </c>
      <c r="T50">
        <f>IF(C28="Ja",163,123)</f>
        <v>123</v>
      </c>
    </row>
    <row r="51" spans="1:22" ht="13.2" x14ac:dyDescent="0.25">
      <c r="A51" s="118"/>
      <c r="B51" s="11"/>
      <c r="C51" s="14"/>
      <c r="D51" s="11"/>
      <c r="E51" s="11"/>
      <c r="F51" s="16"/>
      <c r="G51" s="16"/>
      <c r="H51" s="8"/>
      <c r="K51" s="19"/>
      <c r="L51" s="19"/>
      <c r="M51" s="19"/>
      <c r="N51" s="19"/>
      <c r="O51" s="19"/>
    </row>
    <row r="52" spans="1:22" ht="13.2" x14ac:dyDescent="0.25">
      <c r="A52" s="16" t="s">
        <v>54</v>
      </c>
      <c r="C52" s="11"/>
      <c r="D52" s="14"/>
      <c r="E52" s="14"/>
      <c r="F52" s="160" t="str">
        <f>IF(C157&lt;0,"LET OP:","")</f>
        <v/>
      </c>
      <c r="G52" s="160"/>
      <c r="H52" s="8"/>
      <c r="K52" s="161" t="s">
        <v>55</v>
      </c>
      <c r="L52" s="161"/>
      <c r="M52" s="161"/>
      <c r="N52" s="161"/>
      <c r="O52" s="161"/>
    </row>
    <row r="53" spans="1:22" ht="13.2" x14ac:dyDescent="0.25">
      <c r="A53" s="6" t="s">
        <v>56</v>
      </c>
      <c r="B53" s="8"/>
      <c r="C53" s="13"/>
      <c r="D53" s="8"/>
      <c r="E53" s="8"/>
      <c r="F53" s="160"/>
      <c r="G53" s="160"/>
      <c r="H53" s="8"/>
      <c r="K53" s="161"/>
      <c r="L53" s="161"/>
      <c r="M53" s="161"/>
      <c r="N53" s="161"/>
      <c r="O53" s="161"/>
      <c r="S53" s="67">
        <f>ROUND(IF(AND(D19*C9+D23-H29&gt;940,D19*C9+D23-H29&lt;945),940,D19*C9+D23-H29),0)</f>
        <v>0</v>
      </c>
      <c r="U53" s="67">
        <f>S53-C47</f>
        <v>0</v>
      </c>
      <c r="V53" t="e">
        <f>S53/SUM($S$53:$S$55)</f>
        <v>#DIV/0!</v>
      </c>
    </row>
    <row r="54" spans="1:22" ht="13.2" x14ac:dyDescent="0.25">
      <c r="A54" s="22" t="s">
        <v>57</v>
      </c>
      <c r="B54" s="8"/>
      <c r="C54" s="13"/>
      <c r="D54" s="14"/>
      <c r="E54" s="162" t="str">
        <f>IF(C157&lt;0,"De werktijdfactor is te laag om deze taken te kunnen vervullen. Vul in cel D24 extra uren in.","")</f>
        <v/>
      </c>
      <c r="F54" s="162"/>
      <c r="G54" s="162"/>
      <c r="H54" s="162"/>
      <c r="K54" s="161"/>
      <c r="L54" s="161"/>
      <c r="M54" s="161"/>
      <c r="N54" s="161"/>
      <c r="O54" s="161"/>
      <c r="S54">
        <f>ROUND(S53*G9,0)</f>
        <v>0</v>
      </c>
      <c r="T54" s="67">
        <f>S53+S54</f>
        <v>0</v>
      </c>
      <c r="U54" s="67">
        <f>S54-C48</f>
        <v>0</v>
      </c>
      <c r="V54" t="e">
        <f t="shared" ref="V54:V55" si="2">S54/SUM($S$53:$S$55)</f>
        <v>#DIV/0!</v>
      </c>
    </row>
    <row r="55" spans="1:22" ht="13.2" x14ac:dyDescent="0.25">
      <c r="A55" s="22" t="s">
        <v>58</v>
      </c>
      <c r="B55" s="8"/>
      <c r="C55" s="13"/>
      <c r="D55" s="14"/>
      <c r="E55" s="162"/>
      <c r="F55" s="162"/>
      <c r="G55" s="162"/>
      <c r="H55" s="162"/>
      <c r="K55" s="161"/>
      <c r="L55" s="161"/>
      <c r="M55" s="161"/>
      <c r="N55" s="161"/>
      <c r="O55" s="161"/>
      <c r="S55">
        <f>ROUND(1659*(LEFT(H23,2)/40)-T54-ROUND(IF(A33="",ROUND(LEFT(H23,2)/40*IF(C28="Ja",163,123),0),ROUND(VLOOKUP(C32,$S$46:$T$50,2,FALSE)*LEFT(H23,2)/40,0))-C33,0)-C41,0)</f>
        <v>0</v>
      </c>
      <c r="U55" s="67">
        <f>+S55-C158</f>
        <v>0</v>
      </c>
      <c r="V55" t="e">
        <f t="shared" si="2"/>
        <v>#DIV/0!</v>
      </c>
    </row>
    <row r="56" spans="1:22" ht="12.75" customHeight="1" x14ac:dyDescent="0.25">
      <c r="A56" s="22" t="s">
        <v>59</v>
      </c>
      <c r="B56" s="8"/>
      <c r="C56" s="13"/>
      <c r="D56" s="121"/>
      <c r="E56" s="163" t="s">
        <v>101</v>
      </c>
      <c r="F56" s="164"/>
      <c r="G56" s="164"/>
      <c r="H56" s="164"/>
      <c r="I56" s="110"/>
      <c r="J56" s="68"/>
      <c r="K56" s="161"/>
      <c r="L56" s="161"/>
      <c r="M56" s="161"/>
      <c r="N56" s="161"/>
      <c r="O56" s="161"/>
    </row>
    <row r="57" spans="1:22" ht="13.2" x14ac:dyDescent="0.25">
      <c r="A57" s="22" t="s">
        <v>60</v>
      </c>
      <c r="B57" s="8"/>
      <c r="C57" s="13"/>
      <c r="D57" s="14"/>
      <c r="E57" s="111" t="s">
        <v>130</v>
      </c>
      <c r="F57" s="176">
        <f>H49</f>
        <v>0</v>
      </c>
      <c r="G57" s="176"/>
      <c r="H57" s="176"/>
      <c r="I57" s="110"/>
      <c r="J57" s="68"/>
      <c r="K57" s="19"/>
      <c r="L57" s="19"/>
      <c r="M57" s="19"/>
      <c r="N57" s="19"/>
      <c r="O57" s="19"/>
    </row>
    <row r="58" spans="1:22" ht="13.2" x14ac:dyDescent="0.25">
      <c r="A58" s="22" t="s">
        <v>60</v>
      </c>
      <c r="B58" s="8"/>
      <c r="C58" s="13"/>
      <c r="D58" s="14"/>
      <c r="E58" s="111" t="s">
        <v>58</v>
      </c>
      <c r="F58" s="175"/>
      <c r="G58" s="175"/>
      <c r="H58" s="175"/>
      <c r="I58" s="110"/>
      <c r="J58" s="68"/>
      <c r="K58" s="19"/>
      <c r="L58" s="19"/>
      <c r="M58" s="19"/>
      <c r="N58" s="19"/>
      <c r="O58" s="19"/>
      <c r="S58">
        <f>1452/1659</f>
        <v>0.87522603978300184</v>
      </c>
    </row>
    <row r="59" spans="1:22" ht="13.2" x14ac:dyDescent="0.25">
      <c r="A59" s="22" t="s">
        <v>60</v>
      </c>
      <c r="B59" s="8"/>
      <c r="C59" s="13"/>
      <c r="D59" s="14"/>
      <c r="E59" s="111" t="s">
        <v>62</v>
      </c>
      <c r="F59" s="175"/>
      <c r="G59" s="175"/>
      <c r="H59" s="175"/>
      <c r="I59" s="110"/>
      <c r="J59" s="68"/>
      <c r="K59" s="19"/>
      <c r="L59" s="19"/>
      <c r="M59" s="19"/>
      <c r="N59" s="19"/>
      <c r="O59" s="19"/>
      <c r="S59">
        <f>35/40</f>
        <v>0.875</v>
      </c>
    </row>
    <row r="60" spans="1:22" ht="13.2" x14ac:dyDescent="0.25">
      <c r="A60" s="22" t="s">
        <v>60</v>
      </c>
      <c r="B60" s="8"/>
      <c r="C60" s="13"/>
      <c r="D60" s="14"/>
      <c r="E60" s="111" t="s">
        <v>61</v>
      </c>
      <c r="F60" s="175"/>
      <c r="G60" s="175"/>
      <c r="H60" s="175"/>
      <c r="I60" s="15"/>
      <c r="J60" s="18"/>
      <c r="K60" s="19"/>
      <c r="L60" s="19"/>
      <c r="M60" s="19"/>
      <c r="N60" s="19"/>
      <c r="O60" s="19"/>
      <c r="S60">
        <v>0</v>
      </c>
      <c r="U60" s="67">
        <f>1659/40*LEFT(H23,2)</f>
        <v>0</v>
      </c>
    </row>
    <row r="61" spans="1:22" ht="13.2" x14ac:dyDescent="0.25">
      <c r="A61" s="22" t="s">
        <v>60</v>
      </c>
      <c r="B61" s="8"/>
      <c r="C61" s="13"/>
      <c r="D61" s="14"/>
      <c r="E61" s="112" t="s">
        <v>63</v>
      </c>
      <c r="F61" s="175"/>
      <c r="G61" s="175"/>
      <c r="H61" s="175"/>
      <c r="I61" s="15"/>
      <c r="J61" s="18"/>
      <c r="K61" s="19"/>
      <c r="L61" s="19"/>
      <c r="M61" s="19"/>
      <c r="N61" s="19"/>
      <c r="O61" s="19"/>
    </row>
    <row r="62" spans="1:22" ht="13.2" x14ac:dyDescent="0.25">
      <c r="A62" s="22" t="s">
        <v>60</v>
      </c>
      <c r="B62" s="8"/>
      <c r="C62" s="13"/>
      <c r="D62" s="14"/>
      <c r="E62" s="112" t="s">
        <v>64</v>
      </c>
      <c r="F62" s="175"/>
      <c r="G62" s="175"/>
      <c r="H62" s="175"/>
      <c r="I62" s="15"/>
      <c r="J62" s="18"/>
      <c r="K62" s="19"/>
      <c r="L62" s="19"/>
      <c r="M62" s="19"/>
      <c r="N62" s="19"/>
      <c r="O62" s="19"/>
    </row>
    <row r="63" spans="1:22" ht="13.2" x14ac:dyDescent="0.25">
      <c r="A63" s="22" t="s">
        <v>60</v>
      </c>
      <c r="B63" s="8"/>
      <c r="C63" s="13"/>
      <c r="D63" s="14"/>
      <c r="E63" s="112" t="s">
        <v>60</v>
      </c>
      <c r="F63" s="175"/>
      <c r="G63" s="175"/>
      <c r="H63" s="175"/>
      <c r="I63" s="15"/>
      <c r="J63" s="18"/>
      <c r="K63" s="19"/>
      <c r="L63" s="19"/>
      <c r="M63" s="19"/>
      <c r="N63" s="19"/>
      <c r="O63" s="19"/>
    </row>
    <row r="64" spans="1:22" ht="13.2" x14ac:dyDescent="0.25">
      <c r="A64" s="22" t="s">
        <v>60</v>
      </c>
      <c r="B64" s="8"/>
      <c r="C64" s="13"/>
      <c r="D64" s="14"/>
      <c r="E64" s="112" t="s">
        <v>60</v>
      </c>
      <c r="F64" s="175"/>
      <c r="G64" s="175"/>
      <c r="H64" s="175"/>
      <c r="I64" s="15"/>
      <c r="J64" s="18"/>
      <c r="K64" s="19"/>
      <c r="L64" s="19"/>
      <c r="M64" s="19"/>
      <c r="N64" s="19"/>
      <c r="O64" s="19"/>
    </row>
    <row r="65" spans="1:15" ht="13.2" x14ac:dyDescent="0.25">
      <c r="A65" s="22" t="s">
        <v>60</v>
      </c>
      <c r="B65" s="8"/>
      <c r="C65" s="13"/>
      <c r="D65" s="14"/>
      <c r="E65" s="112" t="s">
        <v>60</v>
      </c>
      <c r="F65" s="175"/>
      <c r="G65" s="175"/>
      <c r="H65" s="175"/>
      <c r="I65" s="15"/>
      <c r="J65" s="18"/>
      <c r="K65" s="19"/>
      <c r="L65" s="19"/>
      <c r="M65" s="19"/>
      <c r="N65" s="19"/>
      <c r="O65" s="19"/>
    </row>
    <row r="66" spans="1:15" ht="13.2" hidden="1" x14ac:dyDescent="0.25">
      <c r="A66" s="22" t="s">
        <v>60</v>
      </c>
      <c r="B66" s="8"/>
      <c r="C66" s="13"/>
      <c r="D66" s="14"/>
      <c r="E66" s="112" t="s">
        <v>60</v>
      </c>
      <c r="F66" s="175"/>
      <c r="G66" s="175"/>
      <c r="H66" s="175"/>
      <c r="I66" s="15"/>
      <c r="J66" s="18"/>
      <c r="K66" s="19"/>
      <c r="L66" s="19"/>
      <c r="M66" s="19"/>
      <c r="N66" s="19"/>
      <c r="O66" s="19"/>
    </row>
    <row r="67" spans="1:15" ht="13.2" hidden="1" x14ac:dyDescent="0.25">
      <c r="A67" s="22" t="s">
        <v>60</v>
      </c>
      <c r="B67" s="8"/>
      <c r="C67" s="13"/>
      <c r="D67" s="14"/>
      <c r="E67" s="112" t="s">
        <v>60</v>
      </c>
      <c r="F67" s="175"/>
      <c r="G67" s="175"/>
      <c r="H67" s="175"/>
      <c r="I67" s="15"/>
      <c r="J67" s="18"/>
      <c r="K67" s="19"/>
      <c r="L67" s="19"/>
      <c r="M67" s="19"/>
      <c r="N67" s="19"/>
      <c r="O67" s="19"/>
    </row>
    <row r="68" spans="1:15" ht="13.2" hidden="1" x14ac:dyDescent="0.25">
      <c r="A68" s="22" t="s">
        <v>60</v>
      </c>
      <c r="B68" s="8"/>
      <c r="C68" s="13"/>
      <c r="D68" s="14"/>
      <c r="E68" s="112" t="s">
        <v>60</v>
      </c>
      <c r="F68" s="175"/>
      <c r="G68" s="175"/>
      <c r="H68" s="175"/>
      <c r="I68" s="15"/>
      <c r="J68" s="18"/>
      <c r="K68" s="19"/>
      <c r="L68" s="19"/>
      <c r="M68" s="19"/>
      <c r="N68" s="19"/>
      <c r="O68" s="19"/>
    </row>
    <row r="69" spans="1:15" ht="13.2" hidden="1" x14ac:dyDescent="0.25">
      <c r="A69" s="22" t="s">
        <v>60</v>
      </c>
      <c r="B69" s="8"/>
      <c r="C69" s="13"/>
      <c r="D69" s="14"/>
      <c r="E69" s="112" t="s">
        <v>60</v>
      </c>
      <c r="F69" s="175"/>
      <c r="G69" s="175"/>
      <c r="H69" s="175"/>
      <c r="I69" s="15"/>
      <c r="J69" s="18"/>
      <c r="K69" s="19"/>
      <c r="L69" s="19"/>
      <c r="M69" s="19"/>
      <c r="N69" s="19"/>
      <c r="O69" s="19"/>
    </row>
    <row r="70" spans="1:15" ht="13.2" hidden="1" x14ac:dyDescent="0.25">
      <c r="A70" s="22" t="s">
        <v>60</v>
      </c>
      <c r="B70" s="8"/>
      <c r="C70" s="13"/>
      <c r="D70" s="14"/>
      <c r="E70" s="112" t="s">
        <v>60</v>
      </c>
      <c r="F70" s="175"/>
      <c r="G70" s="175"/>
      <c r="H70" s="175"/>
      <c r="I70" s="15"/>
      <c r="J70" s="18"/>
      <c r="K70" s="19"/>
      <c r="L70" s="19"/>
      <c r="M70" s="19"/>
      <c r="N70" s="19"/>
      <c r="O70" s="19"/>
    </row>
    <row r="71" spans="1:15" ht="13.2" hidden="1" x14ac:dyDescent="0.25">
      <c r="A71" s="22" t="s">
        <v>60</v>
      </c>
      <c r="B71" s="8"/>
      <c r="C71" s="13"/>
      <c r="D71" s="14"/>
      <c r="E71" s="112" t="s">
        <v>60</v>
      </c>
      <c r="F71" s="175"/>
      <c r="G71" s="175"/>
      <c r="H71" s="175"/>
      <c r="I71" s="15"/>
      <c r="J71" s="18"/>
      <c r="K71" s="19"/>
      <c r="L71" s="19"/>
      <c r="M71" s="19"/>
      <c r="N71" s="19"/>
      <c r="O71" s="19"/>
    </row>
    <row r="72" spans="1:15" ht="13.2" hidden="1" x14ac:dyDescent="0.25">
      <c r="A72" s="22" t="s">
        <v>60</v>
      </c>
      <c r="B72" s="8"/>
      <c r="C72" s="13"/>
      <c r="D72" s="14"/>
      <c r="E72" s="112" t="s">
        <v>60</v>
      </c>
      <c r="F72" s="175"/>
      <c r="G72" s="175"/>
      <c r="H72" s="175"/>
      <c r="I72" s="15"/>
      <c r="J72" s="18"/>
      <c r="K72" s="19"/>
      <c r="L72" s="19"/>
      <c r="M72" s="19"/>
      <c r="N72" s="19"/>
      <c r="O72" s="19"/>
    </row>
    <row r="73" spans="1:15" ht="13.2" hidden="1" x14ac:dyDescent="0.25">
      <c r="A73" s="22" t="s">
        <v>60</v>
      </c>
      <c r="B73" s="8"/>
      <c r="C73" s="13"/>
      <c r="D73" s="14"/>
      <c r="E73" s="112" t="s">
        <v>60</v>
      </c>
      <c r="F73" s="175"/>
      <c r="G73" s="175"/>
      <c r="H73" s="175"/>
      <c r="I73" s="15"/>
      <c r="J73" s="18"/>
      <c r="K73" s="19"/>
      <c r="L73" s="19"/>
      <c r="M73" s="19"/>
      <c r="N73" s="19"/>
      <c r="O73" s="19"/>
    </row>
    <row r="74" spans="1:15" ht="13.2" hidden="1" x14ac:dyDescent="0.25">
      <c r="A74" s="22" t="s">
        <v>60</v>
      </c>
      <c r="B74" s="8"/>
      <c r="C74" s="13"/>
      <c r="D74" s="14"/>
      <c r="E74" s="112" t="s">
        <v>60</v>
      </c>
      <c r="F74" s="175"/>
      <c r="G74" s="175"/>
      <c r="H74" s="175"/>
      <c r="I74" s="15"/>
      <c r="J74" s="18"/>
      <c r="K74" s="19"/>
      <c r="L74" s="19"/>
      <c r="M74" s="19"/>
      <c r="N74" s="19"/>
      <c r="O74" s="19"/>
    </row>
    <row r="75" spans="1:15" ht="13.2" hidden="1" x14ac:dyDescent="0.25">
      <c r="A75" s="22" t="s">
        <v>60</v>
      </c>
      <c r="B75" s="8"/>
      <c r="C75" s="13"/>
      <c r="D75" s="14"/>
      <c r="E75" s="112" t="s">
        <v>60</v>
      </c>
      <c r="F75" s="175"/>
      <c r="G75" s="175"/>
      <c r="H75" s="175"/>
      <c r="I75" s="15"/>
      <c r="J75" s="18"/>
      <c r="K75" s="19"/>
      <c r="L75" s="19"/>
      <c r="M75" s="19"/>
      <c r="N75" s="19"/>
      <c r="O75" s="19"/>
    </row>
    <row r="76" spans="1:15" ht="13.2" hidden="1" x14ac:dyDescent="0.25">
      <c r="A76" s="22" t="s">
        <v>60</v>
      </c>
      <c r="B76" s="8"/>
      <c r="C76" s="13"/>
      <c r="D76" s="14"/>
      <c r="E76" s="112" t="s">
        <v>60</v>
      </c>
      <c r="F76" s="175"/>
      <c r="G76" s="175"/>
      <c r="H76" s="175"/>
      <c r="I76" s="15"/>
      <c r="J76" s="18"/>
      <c r="K76" s="19"/>
      <c r="L76" s="19"/>
      <c r="M76" s="19"/>
      <c r="N76" s="19"/>
      <c r="O76" s="19"/>
    </row>
    <row r="77" spans="1:15" ht="13.2" hidden="1" x14ac:dyDescent="0.25">
      <c r="A77" s="22" t="s">
        <v>60</v>
      </c>
      <c r="B77" s="8"/>
      <c r="C77" s="13"/>
      <c r="D77" s="14"/>
      <c r="E77" s="112" t="s">
        <v>60</v>
      </c>
      <c r="F77" s="175"/>
      <c r="G77" s="175"/>
      <c r="H77" s="175"/>
      <c r="I77" s="15"/>
      <c r="J77" s="18"/>
      <c r="K77" s="19"/>
      <c r="L77" s="19"/>
      <c r="M77" s="19"/>
      <c r="N77" s="19"/>
      <c r="O77" s="19"/>
    </row>
    <row r="78" spans="1:15" ht="13.2" hidden="1" x14ac:dyDescent="0.25">
      <c r="A78" s="22" t="s">
        <v>60</v>
      </c>
      <c r="B78" s="8"/>
      <c r="C78" s="13"/>
      <c r="D78" s="14"/>
      <c r="E78" s="112" t="s">
        <v>60</v>
      </c>
      <c r="F78" s="175"/>
      <c r="G78" s="175"/>
      <c r="H78" s="175"/>
      <c r="I78" s="15"/>
      <c r="J78" s="18"/>
      <c r="K78" s="19"/>
      <c r="L78" s="19"/>
      <c r="M78" s="19"/>
      <c r="N78" s="19"/>
      <c r="O78" s="19"/>
    </row>
    <row r="79" spans="1:15" ht="13.2" hidden="1" x14ac:dyDescent="0.25">
      <c r="A79" s="22" t="s">
        <v>60</v>
      </c>
      <c r="B79" s="8"/>
      <c r="C79" s="13"/>
      <c r="D79" s="14"/>
      <c r="E79" s="112" t="s">
        <v>60</v>
      </c>
      <c r="F79" s="175"/>
      <c r="G79" s="175"/>
      <c r="H79" s="175"/>
      <c r="I79" s="15"/>
      <c r="J79" s="18"/>
      <c r="K79" s="19"/>
      <c r="L79" s="19"/>
      <c r="M79" s="19"/>
      <c r="N79" s="19"/>
      <c r="O79" s="19"/>
    </row>
    <row r="80" spans="1:15" ht="13.2" hidden="1" x14ac:dyDescent="0.25">
      <c r="A80" s="22" t="s">
        <v>60</v>
      </c>
      <c r="B80" s="8"/>
      <c r="C80" s="13"/>
      <c r="D80" s="14"/>
      <c r="E80" s="112" t="s">
        <v>60</v>
      </c>
      <c r="F80" s="175"/>
      <c r="G80" s="175"/>
      <c r="H80" s="175"/>
      <c r="I80" s="15"/>
      <c r="J80" s="18"/>
      <c r="K80" s="19"/>
      <c r="L80" s="19"/>
      <c r="M80" s="19"/>
      <c r="N80" s="19"/>
      <c r="O80" s="19"/>
    </row>
    <row r="81" spans="1:15" ht="13.2" hidden="1" x14ac:dyDescent="0.25">
      <c r="A81" s="22" t="s">
        <v>60</v>
      </c>
      <c r="B81" s="8"/>
      <c r="C81" s="13"/>
      <c r="D81" s="14"/>
      <c r="E81" s="112" t="s">
        <v>60</v>
      </c>
      <c r="F81" s="175"/>
      <c r="G81" s="175"/>
      <c r="H81" s="175"/>
      <c r="I81" s="15"/>
      <c r="J81" s="18"/>
      <c r="K81" s="19"/>
      <c r="L81" s="19"/>
      <c r="M81" s="19"/>
      <c r="N81" s="19"/>
      <c r="O81" s="19"/>
    </row>
    <row r="82" spans="1:15" ht="13.2" hidden="1" x14ac:dyDescent="0.25">
      <c r="A82" s="22" t="s">
        <v>60</v>
      </c>
      <c r="B82" s="8"/>
      <c r="C82" s="13"/>
      <c r="D82" s="14"/>
      <c r="E82" s="112" t="s">
        <v>60</v>
      </c>
      <c r="F82" s="175"/>
      <c r="G82" s="175"/>
      <c r="H82" s="175"/>
      <c r="I82" s="15"/>
      <c r="J82" s="18"/>
      <c r="K82" s="19"/>
      <c r="L82" s="19"/>
      <c r="M82" s="19"/>
      <c r="N82" s="19"/>
      <c r="O82" s="19"/>
    </row>
    <row r="83" spans="1:15" ht="13.2" hidden="1" x14ac:dyDescent="0.25">
      <c r="A83" s="22" t="s">
        <v>60</v>
      </c>
      <c r="B83" s="8"/>
      <c r="C83" s="13"/>
      <c r="D83" s="14"/>
      <c r="E83" s="112" t="s">
        <v>60</v>
      </c>
      <c r="F83" s="175"/>
      <c r="G83" s="175"/>
      <c r="H83" s="175"/>
      <c r="I83" s="15"/>
      <c r="J83" s="18"/>
      <c r="K83" s="19"/>
      <c r="L83" s="19"/>
      <c r="M83" s="19"/>
      <c r="N83" s="19"/>
      <c r="O83" s="19"/>
    </row>
    <row r="84" spans="1:15" ht="13.2" hidden="1" x14ac:dyDescent="0.25">
      <c r="A84" s="22" t="s">
        <v>60</v>
      </c>
      <c r="B84" s="8"/>
      <c r="C84" s="13"/>
      <c r="D84" s="14"/>
      <c r="E84" s="112" t="s">
        <v>60</v>
      </c>
      <c r="F84" s="175"/>
      <c r="G84" s="175"/>
      <c r="H84" s="175"/>
      <c r="I84" s="15"/>
      <c r="J84" s="18"/>
      <c r="K84" s="19"/>
      <c r="L84" s="19"/>
      <c r="M84" s="19"/>
      <c r="N84" s="19"/>
      <c r="O84" s="19"/>
    </row>
    <row r="85" spans="1:15" ht="13.2" hidden="1" x14ac:dyDescent="0.25">
      <c r="A85" s="22" t="s">
        <v>60</v>
      </c>
      <c r="B85" s="8"/>
      <c r="C85" s="13"/>
      <c r="D85" s="14"/>
      <c r="E85" s="112" t="s">
        <v>60</v>
      </c>
      <c r="F85" s="175"/>
      <c r="G85" s="175"/>
      <c r="H85" s="175"/>
      <c r="I85" s="15"/>
      <c r="J85" s="18"/>
      <c r="K85" s="19"/>
      <c r="L85" s="19"/>
      <c r="M85" s="19"/>
      <c r="N85" s="19"/>
      <c r="O85" s="19"/>
    </row>
    <row r="86" spans="1:15" ht="13.2" hidden="1" x14ac:dyDescent="0.25">
      <c r="A86" s="22" t="s">
        <v>60</v>
      </c>
      <c r="B86" s="8"/>
      <c r="C86" s="13"/>
      <c r="D86" s="14"/>
      <c r="E86" s="112" t="s">
        <v>60</v>
      </c>
      <c r="F86" s="175"/>
      <c r="G86" s="175"/>
      <c r="H86" s="175"/>
      <c r="I86" s="15"/>
      <c r="J86" s="18"/>
      <c r="K86" s="19"/>
      <c r="L86" s="19"/>
      <c r="M86" s="19"/>
      <c r="N86" s="19"/>
      <c r="O86" s="19"/>
    </row>
    <row r="87" spans="1:15" ht="13.2" hidden="1" x14ac:dyDescent="0.25">
      <c r="A87" s="22" t="s">
        <v>60</v>
      </c>
      <c r="B87" s="8"/>
      <c r="C87" s="13"/>
      <c r="D87" s="14"/>
      <c r="E87" s="112" t="s">
        <v>60</v>
      </c>
      <c r="F87" s="175"/>
      <c r="G87" s="175"/>
      <c r="H87" s="175"/>
      <c r="I87" s="15"/>
      <c r="J87" s="18"/>
      <c r="K87" s="19"/>
      <c r="L87" s="19"/>
      <c r="M87" s="19"/>
      <c r="N87" s="19"/>
      <c r="O87" s="19"/>
    </row>
    <row r="88" spans="1:15" ht="13.2" hidden="1" x14ac:dyDescent="0.25">
      <c r="A88" s="22" t="s">
        <v>60</v>
      </c>
      <c r="B88" s="8"/>
      <c r="C88" s="13"/>
      <c r="D88" s="14"/>
      <c r="E88" s="112" t="s">
        <v>60</v>
      </c>
      <c r="F88" s="175"/>
      <c r="G88" s="175"/>
      <c r="H88" s="175"/>
      <c r="I88" s="15"/>
      <c r="J88" s="18"/>
      <c r="K88" s="19"/>
      <c r="L88" s="19"/>
      <c r="M88" s="19"/>
      <c r="N88" s="19"/>
      <c r="O88" s="19"/>
    </row>
    <row r="89" spans="1:15" ht="13.2" hidden="1" x14ac:dyDescent="0.25">
      <c r="A89" s="22" t="s">
        <v>60</v>
      </c>
      <c r="B89" s="8"/>
      <c r="C89" s="13"/>
      <c r="D89" s="14"/>
      <c r="E89" s="112" t="s">
        <v>60</v>
      </c>
      <c r="F89" s="175"/>
      <c r="G89" s="175"/>
      <c r="H89" s="175"/>
      <c r="I89" s="15"/>
      <c r="J89" s="18"/>
      <c r="K89" s="19"/>
      <c r="L89" s="19"/>
      <c r="M89" s="19"/>
      <c r="N89" s="19"/>
      <c r="O89" s="19"/>
    </row>
    <row r="90" spans="1:15" ht="13.2" hidden="1" x14ac:dyDescent="0.25">
      <c r="A90" s="22" t="s">
        <v>60</v>
      </c>
      <c r="B90" s="8"/>
      <c r="C90" s="13"/>
      <c r="D90" s="14"/>
      <c r="E90" s="112" t="s">
        <v>60</v>
      </c>
      <c r="F90" s="175"/>
      <c r="G90" s="175"/>
      <c r="H90" s="175"/>
      <c r="I90" s="15"/>
      <c r="J90" s="18"/>
      <c r="K90" s="19"/>
      <c r="L90" s="19"/>
      <c r="M90" s="19"/>
      <c r="N90" s="19"/>
      <c r="O90" s="19"/>
    </row>
    <row r="91" spans="1:15" ht="13.2" hidden="1" x14ac:dyDescent="0.25">
      <c r="A91" s="22" t="s">
        <v>60</v>
      </c>
      <c r="B91" s="8"/>
      <c r="C91" s="13"/>
      <c r="D91" s="14"/>
      <c r="E91" s="112" t="s">
        <v>60</v>
      </c>
      <c r="F91" s="175"/>
      <c r="G91" s="175"/>
      <c r="H91" s="175"/>
      <c r="I91" s="15"/>
      <c r="J91" s="18"/>
      <c r="K91" s="19"/>
      <c r="L91" s="19"/>
      <c r="M91" s="19"/>
      <c r="N91" s="19"/>
      <c r="O91" s="19"/>
    </row>
    <row r="92" spans="1:15" ht="13.2" hidden="1" x14ac:dyDescent="0.25">
      <c r="A92" s="22" t="s">
        <v>60</v>
      </c>
      <c r="B92" s="8"/>
      <c r="C92" s="13"/>
      <c r="D92" s="14"/>
      <c r="E92" s="112" t="s">
        <v>60</v>
      </c>
      <c r="F92" s="175"/>
      <c r="G92" s="175"/>
      <c r="H92" s="175"/>
      <c r="I92" s="15"/>
      <c r="J92" s="18"/>
      <c r="K92" s="19"/>
      <c r="L92" s="19"/>
      <c r="M92" s="19"/>
      <c r="N92" s="19"/>
      <c r="O92" s="19"/>
    </row>
    <row r="93" spans="1:15" ht="13.2" hidden="1" x14ac:dyDescent="0.25">
      <c r="A93" s="22" t="s">
        <v>60</v>
      </c>
      <c r="B93" s="8"/>
      <c r="C93" s="13"/>
      <c r="D93" s="14"/>
      <c r="E93" s="112" t="s">
        <v>60</v>
      </c>
      <c r="F93" s="175"/>
      <c r="G93" s="175"/>
      <c r="H93" s="175"/>
      <c r="I93" s="15"/>
      <c r="J93" s="18"/>
      <c r="K93" s="19"/>
      <c r="L93" s="19"/>
      <c r="M93" s="19"/>
      <c r="N93" s="19"/>
      <c r="O93" s="19"/>
    </row>
    <row r="94" spans="1:15" ht="13.2" hidden="1" x14ac:dyDescent="0.25">
      <c r="A94" s="22" t="s">
        <v>60</v>
      </c>
      <c r="B94" s="8"/>
      <c r="C94" s="13"/>
      <c r="D94" s="14"/>
      <c r="E94" s="112" t="s">
        <v>60</v>
      </c>
      <c r="F94" s="175"/>
      <c r="G94" s="175"/>
      <c r="H94" s="175"/>
      <c r="I94" s="15"/>
      <c r="J94" s="18"/>
      <c r="K94" s="19"/>
      <c r="L94" s="19"/>
      <c r="M94" s="19"/>
      <c r="N94" s="19"/>
      <c r="O94" s="19"/>
    </row>
    <row r="95" spans="1:15" ht="13.2" hidden="1" x14ac:dyDescent="0.25">
      <c r="A95" s="22" t="s">
        <v>60</v>
      </c>
      <c r="B95" s="8"/>
      <c r="C95" s="13"/>
      <c r="D95" s="14"/>
      <c r="E95" s="112" t="s">
        <v>60</v>
      </c>
      <c r="F95" s="175"/>
      <c r="G95" s="175"/>
      <c r="H95" s="175"/>
      <c r="I95" s="15"/>
      <c r="J95" s="18"/>
      <c r="K95" s="19"/>
      <c r="L95" s="19"/>
      <c r="M95" s="19"/>
      <c r="N95" s="19"/>
      <c r="O95" s="19"/>
    </row>
    <row r="96" spans="1:15" ht="13.2" hidden="1" x14ac:dyDescent="0.25">
      <c r="A96" s="22" t="s">
        <v>60</v>
      </c>
      <c r="B96" s="8"/>
      <c r="C96" s="13"/>
      <c r="D96" s="14"/>
      <c r="E96" s="112" t="s">
        <v>60</v>
      </c>
      <c r="F96" s="175"/>
      <c r="G96" s="175"/>
      <c r="H96" s="175"/>
      <c r="I96" s="15"/>
      <c r="J96" s="18"/>
      <c r="K96" s="19"/>
      <c r="L96" s="19"/>
      <c r="M96" s="19"/>
      <c r="N96" s="19"/>
      <c r="O96" s="19"/>
    </row>
    <row r="97" spans="1:15" ht="13.2" hidden="1" x14ac:dyDescent="0.25">
      <c r="A97" s="22" t="s">
        <v>60</v>
      </c>
      <c r="B97" s="8"/>
      <c r="C97" s="13"/>
      <c r="D97" s="14"/>
      <c r="E97" s="112" t="s">
        <v>60</v>
      </c>
      <c r="F97" s="175"/>
      <c r="G97" s="175"/>
      <c r="H97" s="175"/>
      <c r="I97" s="15"/>
      <c r="J97" s="18"/>
      <c r="K97" s="19"/>
      <c r="L97" s="19"/>
      <c r="M97" s="19"/>
      <c r="N97" s="19"/>
      <c r="O97" s="19"/>
    </row>
    <row r="98" spans="1:15" ht="13.2" hidden="1" x14ac:dyDescent="0.25">
      <c r="A98" s="22" t="s">
        <v>60</v>
      </c>
      <c r="B98" s="8"/>
      <c r="C98" s="13"/>
      <c r="D98" s="14"/>
      <c r="E98" s="112" t="s">
        <v>60</v>
      </c>
      <c r="F98" s="175"/>
      <c r="G98" s="175"/>
      <c r="H98" s="175"/>
      <c r="I98" s="15"/>
      <c r="J98" s="18"/>
      <c r="K98" s="19"/>
      <c r="L98" s="19"/>
      <c r="M98" s="19"/>
      <c r="N98" s="19"/>
      <c r="O98" s="19"/>
    </row>
    <row r="99" spans="1:15" ht="13.2" hidden="1" x14ac:dyDescent="0.25">
      <c r="A99" s="22" t="s">
        <v>60</v>
      </c>
      <c r="B99" s="8"/>
      <c r="C99" s="13"/>
      <c r="D99" s="14"/>
      <c r="E99" s="112" t="s">
        <v>60</v>
      </c>
      <c r="F99" s="175"/>
      <c r="G99" s="175"/>
      <c r="H99" s="175"/>
      <c r="I99" s="15"/>
      <c r="J99" s="18"/>
      <c r="K99" s="19"/>
      <c r="L99" s="19"/>
      <c r="M99" s="19"/>
      <c r="N99" s="19"/>
      <c r="O99" s="19"/>
    </row>
    <row r="100" spans="1:15" ht="13.2" hidden="1" x14ac:dyDescent="0.25">
      <c r="A100" s="22" t="s">
        <v>60</v>
      </c>
      <c r="B100" s="8"/>
      <c r="C100" s="13"/>
      <c r="D100" s="14"/>
      <c r="E100" s="112" t="s">
        <v>60</v>
      </c>
      <c r="F100" s="175"/>
      <c r="G100" s="175"/>
      <c r="H100" s="175"/>
      <c r="I100" s="15"/>
      <c r="J100" s="18"/>
      <c r="K100" s="19"/>
      <c r="L100" s="19"/>
      <c r="M100" s="19"/>
      <c r="N100" s="19"/>
      <c r="O100" s="19"/>
    </row>
    <row r="101" spans="1:15" ht="13.2" hidden="1" x14ac:dyDescent="0.25">
      <c r="A101" s="22" t="s">
        <v>60</v>
      </c>
      <c r="B101" s="8"/>
      <c r="C101" s="13"/>
      <c r="D101" s="14"/>
      <c r="E101" s="112" t="s">
        <v>60</v>
      </c>
      <c r="F101" s="175"/>
      <c r="G101" s="175"/>
      <c r="H101" s="175"/>
      <c r="I101" s="15"/>
      <c r="J101" s="18"/>
      <c r="K101" s="19"/>
      <c r="L101" s="19"/>
      <c r="M101" s="19"/>
      <c r="N101" s="19"/>
      <c r="O101" s="19"/>
    </row>
    <row r="102" spans="1:15" ht="13.2" hidden="1" x14ac:dyDescent="0.25">
      <c r="A102" s="22" t="s">
        <v>60</v>
      </c>
      <c r="B102" s="8"/>
      <c r="C102" s="13"/>
      <c r="D102" s="14"/>
      <c r="E102" s="112" t="s">
        <v>60</v>
      </c>
      <c r="F102" s="175"/>
      <c r="G102" s="175"/>
      <c r="H102" s="175"/>
      <c r="I102" s="15"/>
      <c r="J102" s="18"/>
      <c r="K102" s="19"/>
      <c r="L102" s="19"/>
      <c r="M102" s="19"/>
      <c r="N102" s="19"/>
      <c r="O102" s="19"/>
    </row>
    <row r="103" spans="1:15" ht="13.2" hidden="1" x14ac:dyDescent="0.25">
      <c r="A103" s="22" t="s">
        <v>60</v>
      </c>
      <c r="B103" s="8"/>
      <c r="C103" s="13"/>
      <c r="D103" s="14"/>
      <c r="E103" s="112" t="s">
        <v>60</v>
      </c>
      <c r="F103" s="175"/>
      <c r="G103" s="175"/>
      <c r="H103" s="175"/>
      <c r="I103" s="15"/>
      <c r="J103" s="18"/>
      <c r="K103" s="19"/>
      <c r="L103" s="19"/>
      <c r="M103" s="19"/>
      <c r="N103" s="19"/>
      <c r="O103" s="19"/>
    </row>
    <row r="104" spans="1:15" ht="13.2" hidden="1" x14ac:dyDescent="0.25">
      <c r="A104" s="22" t="s">
        <v>60</v>
      </c>
      <c r="B104" s="8"/>
      <c r="C104" s="13"/>
      <c r="D104" s="14"/>
      <c r="E104" s="112" t="s">
        <v>60</v>
      </c>
      <c r="F104" s="175"/>
      <c r="G104" s="175"/>
      <c r="H104" s="175"/>
      <c r="I104" s="15"/>
      <c r="J104" s="18"/>
      <c r="K104" s="19"/>
      <c r="L104" s="19"/>
      <c r="M104" s="19"/>
      <c r="N104" s="19"/>
      <c r="O104" s="19"/>
    </row>
    <row r="105" spans="1:15" ht="13.2" hidden="1" x14ac:dyDescent="0.25">
      <c r="A105" s="22" t="s">
        <v>60</v>
      </c>
      <c r="B105" s="8"/>
      <c r="C105" s="13"/>
      <c r="D105" s="14"/>
      <c r="E105" s="112" t="s">
        <v>60</v>
      </c>
      <c r="F105" s="175"/>
      <c r="G105" s="175"/>
      <c r="H105" s="175"/>
      <c r="I105" s="15"/>
      <c r="J105" s="18"/>
      <c r="K105" s="19"/>
      <c r="L105" s="19"/>
      <c r="M105" s="19"/>
      <c r="N105" s="19"/>
      <c r="O105" s="19"/>
    </row>
    <row r="106" spans="1:15" ht="13.2" hidden="1" x14ac:dyDescent="0.25">
      <c r="A106" s="22" t="s">
        <v>60</v>
      </c>
      <c r="B106" s="8"/>
      <c r="C106" s="13"/>
      <c r="D106" s="14"/>
      <c r="E106" s="112" t="s">
        <v>60</v>
      </c>
      <c r="F106" s="175"/>
      <c r="G106" s="175"/>
      <c r="H106" s="175"/>
      <c r="I106" s="15"/>
      <c r="J106" s="18"/>
      <c r="K106" s="19"/>
      <c r="L106" s="19"/>
      <c r="M106" s="19"/>
      <c r="N106" s="19"/>
      <c r="O106" s="19"/>
    </row>
    <row r="107" spans="1:15" ht="13.2" hidden="1" x14ac:dyDescent="0.25">
      <c r="A107" s="22" t="s">
        <v>60</v>
      </c>
      <c r="B107" s="8"/>
      <c r="C107" s="13"/>
      <c r="D107" s="14"/>
      <c r="E107" s="112" t="s">
        <v>60</v>
      </c>
      <c r="F107" s="175"/>
      <c r="G107" s="175"/>
      <c r="H107" s="175"/>
      <c r="I107" s="15"/>
      <c r="J107" s="18"/>
      <c r="K107" s="19"/>
      <c r="L107" s="19"/>
      <c r="M107" s="19"/>
      <c r="N107" s="19"/>
      <c r="O107" s="19"/>
    </row>
    <row r="108" spans="1:15" ht="13.2" hidden="1" x14ac:dyDescent="0.25">
      <c r="A108" s="22" t="s">
        <v>60</v>
      </c>
      <c r="B108" s="8"/>
      <c r="C108" s="13"/>
      <c r="D108" s="14"/>
      <c r="E108" s="112" t="s">
        <v>60</v>
      </c>
      <c r="F108" s="175"/>
      <c r="G108" s="175"/>
      <c r="H108" s="175"/>
      <c r="I108" s="15"/>
      <c r="J108" s="18"/>
      <c r="K108" s="19"/>
      <c r="L108" s="19"/>
      <c r="M108" s="19"/>
      <c r="N108" s="19"/>
      <c r="O108" s="19"/>
    </row>
    <row r="109" spans="1:15" ht="13.2" hidden="1" x14ac:dyDescent="0.25">
      <c r="A109" s="22" t="s">
        <v>60</v>
      </c>
      <c r="B109" s="8"/>
      <c r="C109" s="13"/>
      <c r="D109" s="14"/>
      <c r="E109" s="112" t="s">
        <v>60</v>
      </c>
      <c r="F109" s="175"/>
      <c r="G109" s="175"/>
      <c r="H109" s="175"/>
      <c r="I109" s="15"/>
      <c r="J109" s="18"/>
      <c r="K109" s="19"/>
      <c r="L109" s="19"/>
      <c r="M109" s="19"/>
      <c r="N109" s="19"/>
      <c r="O109" s="19"/>
    </row>
    <row r="110" spans="1:15" ht="13.2" hidden="1" x14ac:dyDescent="0.25">
      <c r="A110" s="22" t="s">
        <v>60</v>
      </c>
      <c r="B110" s="8"/>
      <c r="C110" s="13"/>
      <c r="D110" s="14"/>
      <c r="E110" s="112" t="s">
        <v>60</v>
      </c>
      <c r="F110" s="175"/>
      <c r="G110" s="175"/>
      <c r="H110" s="175"/>
      <c r="I110" s="15"/>
      <c r="J110" s="18"/>
      <c r="K110" s="19"/>
      <c r="L110" s="19"/>
      <c r="M110" s="19"/>
      <c r="N110" s="19"/>
      <c r="O110" s="19"/>
    </row>
    <row r="111" spans="1:15" ht="13.2" hidden="1" x14ac:dyDescent="0.25">
      <c r="A111" s="22" t="s">
        <v>60</v>
      </c>
      <c r="B111" s="8"/>
      <c r="C111" s="13"/>
      <c r="D111" s="14"/>
      <c r="E111" s="112" t="s">
        <v>60</v>
      </c>
      <c r="F111" s="175"/>
      <c r="G111" s="175"/>
      <c r="H111" s="175"/>
      <c r="I111" s="15"/>
      <c r="J111" s="18"/>
      <c r="K111" s="19"/>
      <c r="L111" s="19"/>
      <c r="M111" s="19"/>
      <c r="N111" s="19"/>
      <c r="O111" s="19"/>
    </row>
    <row r="112" spans="1:15" ht="13.2" hidden="1" x14ac:dyDescent="0.25">
      <c r="A112" s="22" t="s">
        <v>60</v>
      </c>
      <c r="B112" s="8"/>
      <c r="C112" s="13"/>
      <c r="D112" s="14"/>
      <c r="E112" s="112" t="s">
        <v>60</v>
      </c>
      <c r="F112" s="175"/>
      <c r="G112" s="175"/>
      <c r="H112" s="175"/>
      <c r="I112" s="15"/>
      <c r="J112" s="18"/>
      <c r="K112" s="19"/>
      <c r="L112" s="19"/>
      <c r="M112" s="19"/>
      <c r="N112" s="19"/>
      <c r="O112" s="19"/>
    </row>
    <row r="113" spans="1:15" ht="13.2" hidden="1" x14ac:dyDescent="0.25">
      <c r="A113" s="22" t="s">
        <v>60</v>
      </c>
      <c r="B113" s="8"/>
      <c r="C113" s="13"/>
      <c r="D113" s="14"/>
      <c r="E113" s="112" t="s">
        <v>60</v>
      </c>
      <c r="F113" s="175"/>
      <c r="G113" s="175"/>
      <c r="H113" s="175"/>
      <c r="I113" s="15"/>
      <c r="J113" s="18"/>
      <c r="K113" s="19"/>
      <c r="L113" s="19"/>
      <c r="M113" s="19"/>
      <c r="N113" s="19"/>
      <c r="O113" s="19"/>
    </row>
    <row r="114" spans="1:15" ht="13.2" hidden="1" x14ac:dyDescent="0.25">
      <c r="A114" s="22" t="s">
        <v>60</v>
      </c>
      <c r="B114" s="8"/>
      <c r="C114" s="13"/>
      <c r="D114" s="14"/>
      <c r="E114" s="112" t="s">
        <v>60</v>
      </c>
      <c r="F114" s="175"/>
      <c r="G114" s="175"/>
      <c r="H114" s="175"/>
      <c r="I114" s="15"/>
      <c r="J114" s="18"/>
      <c r="K114" s="19"/>
      <c r="L114" s="19"/>
      <c r="M114" s="19"/>
      <c r="N114" s="19"/>
      <c r="O114" s="19"/>
    </row>
    <row r="115" spans="1:15" ht="13.2" hidden="1" x14ac:dyDescent="0.25">
      <c r="A115" s="22" t="s">
        <v>60</v>
      </c>
      <c r="B115" s="8"/>
      <c r="C115" s="13"/>
      <c r="D115" s="14"/>
      <c r="E115" s="112" t="s">
        <v>60</v>
      </c>
      <c r="F115" s="175"/>
      <c r="G115" s="175"/>
      <c r="H115" s="175"/>
      <c r="I115" s="15"/>
      <c r="J115" s="18"/>
      <c r="K115" s="19"/>
      <c r="L115" s="19"/>
      <c r="M115" s="19"/>
      <c r="N115" s="19"/>
      <c r="O115" s="19"/>
    </row>
    <row r="116" spans="1:15" ht="13.2" hidden="1" x14ac:dyDescent="0.25">
      <c r="A116" s="22" t="s">
        <v>60</v>
      </c>
      <c r="B116" s="8"/>
      <c r="C116" s="13"/>
      <c r="D116" s="14"/>
      <c r="E116" s="112" t="s">
        <v>60</v>
      </c>
      <c r="F116" s="175"/>
      <c r="G116" s="175"/>
      <c r="H116" s="175"/>
      <c r="I116" s="15"/>
      <c r="J116" s="18"/>
      <c r="K116" s="19"/>
      <c r="L116" s="19"/>
      <c r="M116" s="19"/>
      <c r="N116" s="19"/>
      <c r="O116" s="19"/>
    </row>
    <row r="117" spans="1:15" ht="13.2" hidden="1" x14ac:dyDescent="0.25">
      <c r="A117" s="22" t="s">
        <v>60</v>
      </c>
      <c r="B117" s="8"/>
      <c r="C117" s="13"/>
      <c r="D117" s="14"/>
      <c r="E117" s="112" t="s">
        <v>60</v>
      </c>
      <c r="F117" s="175"/>
      <c r="G117" s="175"/>
      <c r="H117" s="175"/>
      <c r="I117" s="15"/>
      <c r="J117" s="18"/>
      <c r="K117" s="19"/>
      <c r="L117" s="19"/>
      <c r="M117" s="19"/>
      <c r="N117" s="19"/>
      <c r="O117" s="19"/>
    </row>
    <row r="118" spans="1:15" ht="13.2" hidden="1" x14ac:dyDescent="0.25">
      <c r="A118" s="22" t="s">
        <v>60</v>
      </c>
      <c r="B118" s="8"/>
      <c r="C118" s="13"/>
      <c r="D118" s="14"/>
      <c r="E118" s="112" t="s">
        <v>60</v>
      </c>
      <c r="F118" s="175"/>
      <c r="G118" s="175"/>
      <c r="H118" s="175"/>
      <c r="I118" s="15"/>
      <c r="J118" s="18"/>
      <c r="K118" s="19"/>
      <c r="L118" s="19"/>
      <c r="M118" s="19"/>
      <c r="N118" s="19"/>
      <c r="O118" s="19"/>
    </row>
    <row r="119" spans="1:15" ht="13.2" hidden="1" x14ac:dyDescent="0.25">
      <c r="A119" s="22" t="s">
        <v>60</v>
      </c>
      <c r="B119" s="8"/>
      <c r="C119" s="13"/>
      <c r="D119" s="14"/>
      <c r="E119" s="112" t="s">
        <v>60</v>
      </c>
      <c r="F119" s="175"/>
      <c r="G119" s="175"/>
      <c r="H119" s="175"/>
      <c r="I119" s="15"/>
      <c r="J119" s="18"/>
      <c r="K119" s="19"/>
      <c r="L119" s="19"/>
      <c r="M119" s="19"/>
      <c r="N119" s="19"/>
      <c r="O119" s="19"/>
    </row>
    <row r="120" spans="1:15" ht="13.2" hidden="1" x14ac:dyDescent="0.25">
      <c r="A120" s="22" t="s">
        <v>60</v>
      </c>
      <c r="B120" s="8"/>
      <c r="C120" s="13"/>
      <c r="D120" s="14"/>
      <c r="E120" s="112" t="s">
        <v>60</v>
      </c>
      <c r="F120" s="175"/>
      <c r="G120" s="175"/>
      <c r="H120" s="175"/>
      <c r="I120" s="15"/>
      <c r="J120" s="18"/>
      <c r="K120" s="19"/>
      <c r="L120" s="19"/>
      <c r="M120" s="19"/>
      <c r="N120" s="19"/>
      <c r="O120" s="19"/>
    </row>
    <row r="121" spans="1:15" ht="13.2" hidden="1" x14ac:dyDescent="0.25">
      <c r="A121" s="22" t="s">
        <v>60</v>
      </c>
      <c r="B121" s="8"/>
      <c r="C121" s="13"/>
      <c r="D121" s="14"/>
      <c r="E121" s="112" t="s">
        <v>60</v>
      </c>
      <c r="F121" s="175"/>
      <c r="G121" s="175"/>
      <c r="H121" s="175"/>
      <c r="I121" s="15"/>
      <c r="J121" s="18"/>
      <c r="K121" s="19"/>
      <c r="L121" s="19"/>
      <c r="M121" s="19"/>
      <c r="N121" s="19"/>
      <c r="O121" s="19"/>
    </row>
    <row r="122" spans="1:15" ht="13.2" hidden="1" x14ac:dyDescent="0.25">
      <c r="A122" s="22" t="s">
        <v>60</v>
      </c>
      <c r="B122" s="8"/>
      <c r="C122" s="13"/>
      <c r="D122" s="14"/>
      <c r="E122" s="112" t="s">
        <v>60</v>
      </c>
      <c r="F122" s="175"/>
      <c r="G122" s="175"/>
      <c r="H122" s="175"/>
      <c r="I122" s="15"/>
      <c r="J122" s="18"/>
      <c r="K122" s="19"/>
      <c r="L122" s="19"/>
      <c r="M122" s="19"/>
      <c r="N122" s="19"/>
      <c r="O122" s="19"/>
    </row>
    <row r="123" spans="1:15" ht="13.2" hidden="1" x14ac:dyDescent="0.25">
      <c r="A123" s="22" t="s">
        <v>60</v>
      </c>
      <c r="B123" s="8"/>
      <c r="C123" s="13"/>
      <c r="D123" s="14"/>
      <c r="E123" s="112" t="s">
        <v>60</v>
      </c>
      <c r="F123" s="175"/>
      <c r="G123" s="175"/>
      <c r="H123" s="175"/>
      <c r="I123" s="15"/>
      <c r="J123" s="18"/>
      <c r="K123" s="19"/>
      <c r="L123" s="19"/>
      <c r="M123" s="19"/>
      <c r="N123" s="19"/>
      <c r="O123" s="19"/>
    </row>
    <row r="124" spans="1:15" ht="13.2" hidden="1" x14ac:dyDescent="0.25">
      <c r="A124" s="22" t="s">
        <v>60</v>
      </c>
      <c r="B124" s="8"/>
      <c r="C124" s="13"/>
      <c r="D124" s="14"/>
      <c r="E124" s="112" t="s">
        <v>60</v>
      </c>
      <c r="F124" s="175"/>
      <c r="G124" s="175"/>
      <c r="H124" s="175"/>
      <c r="I124" s="15"/>
      <c r="J124" s="18"/>
      <c r="K124" s="19"/>
      <c r="L124" s="19"/>
      <c r="M124" s="19"/>
      <c r="N124" s="19"/>
      <c r="O124" s="19"/>
    </row>
    <row r="125" spans="1:15" ht="13.2" hidden="1" x14ac:dyDescent="0.25">
      <c r="A125" s="22" t="s">
        <v>60</v>
      </c>
      <c r="B125" s="8"/>
      <c r="C125" s="13"/>
      <c r="D125" s="14"/>
      <c r="E125" s="112" t="s">
        <v>60</v>
      </c>
      <c r="F125" s="175"/>
      <c r="G125" s="175"/>
      <c r="H125" s="175"/>
      <c r="I125" s="15"/>
      <c r="J125" s="18"/>
      <c r="K125" s="19"/>
      <c r="L125" s="19"/>
      <c r="M125" s="19"/>
      <c r="N125" s="19"/>
      <c r="O125" s="19"/>
    </row>
    <row r="126" spans="1:15" ht="13.2" hidden="1" x14ac:dyDescent="0.25">
      <c r="A126" s="22" t="s">
        <v>60</v>
      </c>
      <c r="B126" s="8"/>
      <c r="C126" s="13"/>
      <c r="D126" s="14"/>
      <c r="E126" s="112" t="s">
        <v>60</v>
      </c>
      <c r="F126" s="175"/>
      <c r="G126" s="175"/>
      <c r="H126" s="175"/>
      <c r="I126" s="15"/>
      <c r="J126" s="18"/>
      <c r="K126" s="19"/>
      <c r="L126" s="19"/>
      <c r="M126" s="19"/>
      <c r="N126" s="19"/>
      <c r="O126" s="19"/>
    </row>
    <row r="127" spans="1:15" ht="13.2" hidden="1" x14ac:dyDescent="0.25">
      <c r="A127" s="22" t="s">
        <v>60</v>
      </c>
      <c r="B127" s="8"/>
      <c r="C127" s="13"/>
      <c r="D127" s="14"/>
      <c r="E127" s="112" t="s">
        <v>60</v>
      </c>
      <c r="F127" s="175"/>
      <c r="G127" s="175"/>
      <c r="H127" s="175"/>
      <c r="I127" s="15"/>
      <c r="J127" s="18"/>
      <c r="K127" s="19"/>
      <c r="L127" s="19"/>
      <c r="M127" s="19"/>
      <c r="N127" s="19"/>
      <c r="O127" s="19"/>
    </row>
    <row r="128" spans="1:15" ht="13.2" hidden="1" x14ac:dyDescent="0.25">
      <c r="A128" s="22" t="s">
        <v>60</v>
      </c>
      <c r="B128" s="8"/>
      <c r="C128" s="13"/>
      <c r="D128" s="14"/>
      <c r="E128" s="112" t="s">
        <v>60</v>
      </c>
      <c r="F128" s="175"/>
      <c r="G128" s="175"/>
      <c r="H128" s="175"/>
      <c r="I128" s="15"/>
      <c r="J128" s="18"/>
      <c r="K128" s="19"/>
      <c r="L128" s="19"/>
      <c r="M128" s="19"/>
      <c r="N128" s="19"/>
      <c r="O128" s="19"/>
    </row>
    <row r="129" spans="1:15" ht="13.2" hidden="1" x14ac:dyDescent="0.25">
      <c r="A129" s="22" t="s">
        <v>60</v>
      </c>
      <c r="B129" s="8"/>
      <c r="C129" s="13"/>
      <c r="D129" s="14"/>
      <c r="E129" s="112" t="s">
        <v>60</v>
      </c>
      <c r="F129" s="175"/>
      <c r="G129" s="175"/>
      <c r="H129" s="175"/>
      <c r="I129" s="15"/>
      <c r="J129" s="18"/>
      <c r="K129" s="19"/>
      <c r="L129" s="19"/>
      <c r="M129" s="19"/>
      <c r="N129" s="19"/>
      <c r="O129" s="19"/>
    </row>
    <row r="130" spans="1:15" ht="13.2" hidden="1" x14ac:dyDescent="0.25">
      <c r="A130" s="22" t="s">
        <v>60</v>
      </c>
      <c r="B130" s="8"/>
      <c r="C130" s="13"/>
      <c r="D130" s="14"/>
      <c r="E130" s="112" t="s">
        <v>60</v>
      </c>
      <c r="F130" s="175"/>
      <c r="G130" s="175"/>
      <c r="H130" s="175"/>
      <c r="I130" s="15"/>
      <c r="J130" s="18"/>
      <c r="K130" s="19"/>
      <c r="L130" s="19"/>
      <c r="M130" s="19"/>
      <c r="N130" s="19"/>
      <c r="O130" s="19"/>
    </row>
    <row r="131" spans="1:15" ht="13.2" hidden="1" x14ac:dyDescent="0.25">
      <c r="A131" s="22" t="s">
        <v>60</v>
      </c>
      <c r="B131" s="8"/>
      <c r="C131" s="13"/>
      <c r="D131" s="14"/>
      <c r="E131" s="112" t="s">
        <v>60</v>
      </c>
      <c r="F131" s="175"/>
      <c r="G131" s="175"/>
      <c r="H131" s="175"/>
      <c r="I131" s="15"/>
      <c r="J131" s="18"/>
      <c r="K131" s="19"/>
      <c r="L131" s="19"/>
      <c r="M131" s="19"/>
      <c r="N131" s="19"/>
      <c r="O131" s="19"/>
    </row>
    <row r="132" spans="1:15" ht="13.2" hidden="1" x14ac:dyDescent="0.25">
      <c r="A132" s="22" t="s">
        <v>60</v>
      </c>
      <c r="B132" s="8"/>
      <c r="C132" s="13"/>
      <c r="D132" s="14"/>
      <c r="E132" s="112" t="s">
        <v>60</v>
      </c>
      <c r="F132" s="175"/>
      <c r="G132" s="175"/>
      <c r="H132" s="175"/>
      <c r="I132" s="15"/>
      <c r="J132" s="18"/>
      <c r="K132" s="19"/>
      <c r="L132" s="19"/>
      <c r="M132" s="19"/>
      <c r="N132" s="19"/>
      <c r="O132" s="19"/>
    </row>
    <row r="133" spans="1:15" ht="13.2" hidden="1" x14ac:dyDescent="0.25">
      <c r="A133" s="22" t="s">
        <v>60</v>
      </c>
      <c r="B133" s="8"/>
      <c r="C133" s="13"/>
      <c r="D133" s="14"/>
      <c r="E133" s="112" t="s">
        <v>60</v>
      </c>
      <c r="F133" s="175"/>
      <c r="G133" s="175"/>
      <c r="H133" s="175"/>
      <c r="I133" s="15"/>
      <c r="J133" s="18"/>
      <c r="K133" s="19"/>
      <c r="L133" s="19"/>
      <c r="M133" s="19"/>
      <c r="N133" s="19"/>
      <c r="O133" s="19"/>
    </row>
    <row r="134" spans="1:15" ht="13.2" hidden="1" x14ac:dyDescent="0.25">
      <c r="A134" s="22" t="s">
        <v>60</v>
      </c>
      <c r="B134" s="8"/>
      <c r="C134" s="13"/>
      <c r="D134" s="14"/>
      <c r="E134" s="112" t="s">
        <v>60</v>
      </c>
      <c r="F134" s="175"/>
      <c r="G134" s="175"/>
      <c r="H134" s="175"/>
      <c r="I134" s="15"/>
      <c r="J134" s="18"/>
      <c r="K134" s="19"/>
      <c r="L134" s="19"/>
      <c r="M134" s="19"/>
      <c r="N134" s="19"/>
      <c r="O134" s="19"/>
    </row>
    <row r="135" spans="1:15" ht="13.2" hidden="1" x14ac:dyDescent="0.25">
      <c r="A135" s="22" t="s">
        <v>60</v>
      </c>
      <c r="B135" s="8"/>
      <c r="C135" s="13"/>
      <c r="D135" s="14"/>
      <c r="E135" s="112" t="s">
        <v>60</v>
      </c>
      <c r="F135" s="175"/>
      <c r="G135" s="175"/>
      <c r="H135" s="175"/>
      <c r="I135" s="15"/>
      <c r="J135" s="18"/>
      <c r="K135" s="19"/>
      <c r="L135" s="19"/>
      <c r="M135" s="19"/>
      <c r="N135" s="19"/>
      <c r="O135" s="19"/>
    </row>
    <row r="136" spans="1:15" ht="13.2" hidden="1" x14ac:dyDescent="0.25">
      <c r="A136" s="22" t="s">
        <v>60</v>
      </c>
      <c r="B136" s="8"/>
      <c r="C136" s="13"/>
      <c r="D136" s="14"/>
      <c r="E136" s="112" t="s">
        <v>60</v>
      </c>
      <c r="F136" s="175"/>
      <c r="G136" s="175"/>
      <c r="H136" s="175"/>
      <c r="I136" s="15"/>
      <c r="J136" s="18"/>
      <c r="K136" s="19"/>
      <c r="L136" s="19"/>
      <c r="M136" s="19"/>
      <c r="N136" s="19"/>
      <c r="O136" s="19"/>
    </row>
    <row r="137" spans="1:15" ht="13.2" hidden="1" x14ac:dyDescent="0.25">
      <c r="A137" s="22" t="s">
        <v>60</v>
      </c>
      <c r="B137" s="8"/>
      <c r="C137" s="13"/>
      <c r="D137" s="14"/>
      <c r="E137" s="112" t="s">
        <v>60</v>
      </c>
      <c r="F137" s="175"/>
      <c r="G137" s="175"/>
      <c r="H137" s="175"/>
      <c r="I137" s="15"/>
      <c r="J137" s="18"/>
      <c r="K137" s="19"/>
      <c r="L137" s="19"/>
      <c r="M137" s="19"/>
      <c r="N137" s="19"/>
      <c r="O137" s="19"/>
    </row>
    <row r="138" spans="1:15" ht="13.2" hidden="1" x14ac:dyDescent="0.25">
      <c r="A138" s="22" t="s">
        <v>60</v>
      </c>
      <c r="B138" s="8"/>
      <c r="C138" s="13"/>
      <c r="D138" s="14"/>
      <c r="E138" s="112" t="s">
        <v>60</v>
      </c>
      <c r="F138" s="175"/>
      <c r="G138" s="175"/>
      <c r="H138" s="175"/>
      <c r="I138" s="15"/>
      <c r="J138" s="18"/>
      <c r="K138" s="19"/>
      <c r="L138" s="19"/>
      <c r="M138" s="19"/>
      <c r="N138" s="19"/>
      <c r="O138" s="19"/>
    </row>
    <row r="139" spans="1:15" ht="13.2" hidden="1" x14ac:dyDescent="0.25">
      <c r="A139" s="22" t="s">
        <v>60</v>
      </c>
      <c r="B139" s="8"/>
      <c r="C139" s="13"/>
      <c r="D139" s="14"/>
      <c r="E139" s="112" t="s">
        <v>60</v>
      </c>
      <c r="F139" s="175"/>
      <c r="G139" s="175"/>
      <c r="H139" s="175"/>
      <c r="I139" s="15"/>
      <c r="J139" s="18"/>
      <c r="K139" s="19"/>
      <c r="L139" s="19"/>
      <c r="M139" s="19"/>
      <c r="N139" s="19"/>
      <c r="O139" s="19"/>
    </row>
    <row r="140" spans="1:15" ht="13.2" hidden="1" x14ac:dyDescent="0.25">
      <c r="A140" s="22" t="s">
        <v>60</v>
      </c>
      <c r="B140" s="8"/>
      <c r="C140" s="13"/>
      <c r="D140" s="14"/>
      <c r="E140" s="112" t="s">
        <v>60</v>
      </c>
      <c r="F140" s="175"/>
      <c r="G140" s="175"/>
      <c r="H140" s="175"/>
      <c r="I140" s="15"/>
      <c r="J140" s="18"/>
      <c r="K140" s="19"/>
      <c r="L140" s="19"/>
      <c r="M140" s="19"/>
      <c r="N140" s="19"/>
      <c r="O140" s="19"/>
    </row>
    <row r="141" spans="1:15" ht="13.2" hidden="1" x14ac:dyDescent="0.25">
      <c r="A141" s="22" t="s">
        <v>60</v>
      </c>
      <c r="B141" s="8"/>
      <c r="C141" s="13"/>
      <c r="D141" s="14"/>
      <c r="E141" s="112" t="s">
        <v>60</v>
      </c>
      <c r="F141" s="175"/>
      <c r="G141" s="175"/>
      <c r="H141" s="175"/>
      <c r="I141" s="15"/>
      <c r="J141" s="18"/>
      <c r="K141" s="19"/>
      <c r="L141" s="19"/>
      <c r="M141" s="19"/>
      <c r="N141" s="19"/>
      <c r="O141" s="19"/>
    </row>
    <row r="142" spans="1:15" ht="13.2" hidden="1" x14ac:dyDescent="0.25">
      <c r="A142" s="22" t="s">
        <v>60</v>
      </c>
      <c r="B142" s="8"/>
      <c r="C142" s="13"/>
      <c r="D142" s="14"/>
      <c r="E142" s="112" t="s">
        <v>60</v>
      </c>
      <c r="F142" s="175"/>
      <c r="G142" s="175"/>
      <c r="H142" s="175"/>
      <c r="I142" s="15"/>
      <c r="J142" s="18"/>
      <c r="K142" s="19"/>
      <c r="L142" s="19"/>
      <c r="M142" s="19"/>
      <c r="N142" s="19"/>
      <c r="O142" s="19"/>
    </row>
    <row r="143" spans="1:15" ht="13.2" hidden="1" x14ac:dyDescent="0.25">
      <c r="A143" s="22" t="s">
        <v>60</v>
      </c>
      <c r="B143" s="8"/>
      <c r="C143" s="13"/>
      <c r="D143" s="14"/>
      <c r="E143" s="112" t="s">
        <v>60</v>
      </c>
      <c r="F143" s="175"/>
      <c r="G143" s="175"/>
      <c r="H143" s="175"/>
      <c r="I143" s="15"/>
      <c r="J143" s="18"/>
      <c r="K143" s="19"/>
      <c r="L143" s="19"/>
      <c r="M143" s="19"/>
      <c r="N143" s="19"/>
      <c r="O143" s="19"/>
    </row>
    <row r="144" spans="1:15" ht="13.2" hidden="1" x14ac:dyDescent="0.25">
      <c r="A144" s="22" t="s">
        <v>60</v>
      </c>
      <c r="B144" s="8"/>
      <c r="C144" s="13"/>
      <c r="D144" s="14"/>
      <c r="E144" s="112" t="s">
        <v>60</v>
      </c>
      <c r="F144" s="175"/>
      <c r="G144" s="175"/>
      <c r="H144" s="175"/>
      <c r="I144" s="15"/>
      <c r="J144" s="18"/>
      <c r="K144" s="19"/>
      <c r="L144" s="19"/>
      <c r="M144" s="19"/>
      <c r="N144" s="19"/>
      <c r="O144" s="19"/>
    </row>
    <row r="145" spans="1:15" ht="13.2" hidden="1" x14ac:dyDescent="0.25">
      <c r="A145" s="22" t="s">
        <v>60</v>
      </c>
      <c r="B145" s="8"/>
      <c r="C145" s="13"/>
      <c r="D145" s="14"/>
      <c r="E145" s="112" t="s">
        <v>60</v>
      </c>
      <c r="F145" s="175"/>
      <c r="G145" s="175"/>
      <c r="H145" s="175"/>
      <c r="I145" s="15"/>
      <c r="J145" s="18"/>
      <c r="K145" s="19"/>
      <c r="L145" s="19"/>
      <c r="M145" s="19"/>
      <c r="N145" s="19"/>
      <c r="O145" s="19"/>
    </row>
    <row r="146" spans="1:15" ht="13.2" hidden="1" x14ac:dyDescent="0.25">
      <c r="A146" s="22" t="s">
        <v>60</v>
      </c>
      <c r="B146" s="8"/>
      <c r="C146" s="13"/>
      <c r="D146" s="14"/>
      <c r="E146" s="112" t="s">
        <v>60</v>
      </c>
      <c r="F146" s="175"/>
      <c r="G146" s="175"/>
      <c r="H146" s="175"/>
      <c r="I146" s="15"/>
      <c r="J146" s="18"/>
      <c r="K146" s="19"/>
      <c r="L146" s="19"/>
      <c r="M146" s="19"/>
      <c r="N146" s="19"/>
      <c r="O146" s="19"/>
    </row>
    <row r="147" spans="1:15" ht="13.2" hidden="1" x14ac:dyDescent="0.25">
      <c r="A147" s="22" t="s">
        <v>60</v>
      </c>
      <c r="B147" s="8"/>
      <c r="C147" s="13"/>
      <c r="D147" s="14"/>
      <c r="E147" s="112" t="s">
        <v>60</v>
      </c>
      <c r="F147" s="175"/>
      <c r="G147" s="175"/>
      <c r="H147" s="175"/>
      <c r="I147" s="15"/>
      <c r="J147" s="18"/>
      <c r="K147" s="19"/>
      <c r="L147" s="19"/>
      <c r="M147" s="19"/>
      <c r="N147" s="19"/>
      <c r="O147" s="19"/>
    </row>
    <row r="148" spans="1:15" ht="13.2" hidden="1" x14ac:dyDescent="0.25">
      <c r="A148" s="22" t="s">
        <v>60</v>
      </c>
      <c r="B148" s="8"/>
      <c r="C148" s="13"/>
      <c r="D148" s="14"/>
      <c r="E148" s="112" t="s">
        <v>60</v>
      </c>
      <c r="F148" s="175"/>
      <c r="G148" s="175"/>
      <c r="H148" s="175"/>
      <c r="I148" s="15"/>
      <c r="J148" s="18"/>
      <c r="K148" s="19"/>
      <c r="L148" s="19"/>
      <c r="M148" s="19"/>
      <c r="N148" s="19"/>
      <c r="O148" s="19"/>
    </row>
    <row r="149" spans="1:15" ht="13.2" hidden="1" x14ac:dyDescent="0.25">
      <c r="A149" s="22" t="s">
        <v>60</v>
      </c>
      <c r="B149" s="8"/>
      <c r="C149" s="13"/>
      <c r="D149" s="14"/>
      <c r="E149" s="112" t="s">
        <v>60</v>
      </c>
      <c r="F149" s="175"/>
      <c r="G149" s="175"/>
      <c r="H149" s="175"/>
      <c r="I149" s="15"/>
      <c r="J149" s="18"/>
      <c r="K149" s="19"/>
      <c r="L149" s="19"/>
      <c r="M149" s="19"/>
      <c r="N149" s="19"/>
      <c r="O149" s="19"/>
    </row>
    <row r="150" spans="1:15" ht="13.2" hidden="1" x14ac:dyDescent="0.25">
      <c r="A150" s="22" t="s">
        <v>60</v>
      </c>
      <c r="B150" s="8"/>
      <c r="C150" s="13"/>
      <c r="D150" s="14"/>
      <c r="E150" s="112" t="s">
        <v>60</v>
      </c>
      <c r="F150" s="175"/>
      <c r="G150" s="175"/>
      <c r="H150" s="175"/>
      <c r="I150" s="15"/>
      <c r="J150" s="18"/>
      <c r="K150" s="19"/>
      <c r="L150" s="19"/>
      <c r="M150" s="19"/>
      <c r="N150" s="19"/>
      <c r="O150" s="19"/>
    </row>
    <row r="151" spans="1:15" ht="13.2" hidden="1" x14ac:dyDescent="0.25">
      <c r="A151" s="22" t="s">
        <v>60</v>
      </c>
      <c r="B151" s="8"/>
      <c r="C151" s="13"/>
      <c r="D151" s="14"/>
      <c r="E151" s="112" t="s">
        <v>60</v>
      </c>
      <c r="F151" s="175"/>
      <c r="G151" s="175"/>
      <c r="H151" s="175"/>
      <c r="I151" s="15"/>
      <c r="J151" s="18"/>
      <c r="K151" s="19"/>
      <c r="L151" s="19"/>
      <c r="M151" s="19"/>
      <c r="N151" s="19"/>
      <c r="O151" s="19"/>
    </row>
    <row r="152" spans="1:15" ht="13.2" hidden="1" x14ac:dyDescent="0.25">
      <c r="A152" s="22" t="s">
        <v>60</v>
      </c>
      <c r="B152" s="8"/>
      <c r="C152" s="13"/>
      <c r="D152" s="14"/>
      <c r="E152" s="112" t="s">
        <v>60</v>
      </c>
      <c r="F152" s="175"/>
      <c r="G152" s="175"/>
      <c r="H152" s="175"/>
      <c r="I152" s="15"/>
      <c r="J152" s="18"/>
      <c r="K152" s="19"/>
      <c r="L152" s="19"/>
      <c r="M152" s="19"/>
      <c r="N152" s="19"/>
      <c r="O152" s="19"/>
    </row>
    <row r="153" spans="1:15" ht="13.2" hidden="1" x14ac:dyDescent="0.25">
      <c r="A153" s="22" t="s">
        <v>60</v>
      </c>
      <c r="B153" s="8"/>
      <c r="C153" s="13"/>
      <c r="D153" s="14"/>
      <c r="E153" s="112" t="s">
        <v>60</v>
      </c>
      <c r="F153" s="175"/>
      <c r="G153" s="175"/>
      <c r="H153" s="175"/>
      <c r="I153" s="15"/>
      <c r="J153" s="18"/>
      <c r="K153" s="19"/>
      <c r="L153" s="19"/>
      <c r="M153" s="19"/>
      <c r="N153" s="19"/>
      <c r="O153" s="19"/>
    </row>
    <row r="154" spans="1:15" ht="13.2" hidden="1" x14ac:dyDescent="0.25">
      <c r="A154" s="22" t="s">
        <v>60</v>
      </c>
      <c r="B154" s="8"/>
      <c r="C154" s="13"/>
      <c r="D154" s="14"/>
      <c r="E154" s="112" t="s">
        <v>60</v>
      </c>
      <c r="F154" s="175"/>
      <c r="G154" s="175"/>
      <c r="H154" s="175"/>
      <c r="I154" s="15"/>
      <c r="J154" s="18"/>
      <c r="K154" s="19"/>
      <c r="L154" s="19"/>
      <c r="M154" s="19"/>
      <c r="N154" s="19"/>
      <c r="O154" s="19"/>
    </row>
    <row r="155" spans="1:15" ht="13.2" hidden="1" x14ac:dyDescent="0.25">
      <c r="A155" s="6" t="s">
        <v>60</v>
      </c>
      <c r="B155" s="8"/>
      <c r="C155" s="13"/>
      <c r="E155" s="112" t="s">
        <v>60</v>
      </c>
      <c r="F155" s="175"/>
      <c r="G155" s="175"/>
      <c r="H155" s="175"/>
      <c r="I155" s="15"/>
      <c r="J155" s="18"/>
      <c r="K155" s="19"/>
      <c r="L155" s="19"/>
      <c r="M155" s="19"/>
      <c r="N155" s="19"/>
      <c r="O155" s="19"/>
    </row>
    <row r="156" spans="1:15" ht="13.2" hidden="1" x14ac:dyDescent="0.25">
      <c r="A156" s="6" t="s">
        <v>65</v>
      </c>
      <c r="B156" s="8"/>
      <c r="C156" s="13"/>
      <c r="D156" s="8"/>
      <c r="E156" s="112" t="s">
        <v>60</v>
      </c>
      <c r="F156" s="175"/>
      <c r="G156" s="175"/>
      <c r="H156" s="175"/>
      <c r="K156" s="19"/>
      <c r="L156" s="19"/>
      <c r="M156" s="19"/>
      <c r="N156" s="19"/>
      <c r="O156" s="19"/>
    </row>
    <row r="157" spans="1:15" ht="13.8" thickBot="1" x14ac:dyDescent="0.3">
      <c r="A157" s="7" t="s">
        <v>66</v>
      </c>
      <c r="B157" s="8"/>
      <c r="C157" s="9">
        <f>IFERROR(IF(H30&gt;0,ROUND(S55-SUM(C53:C156)-V37,0),ROUND(S55-H49/SUM(S53:S55)*S55-SUM(C53:C156),0)),0)</f>
        <v>0</v>
      </c>
      <c r="D157" s="8"/>
      <c r="E157" s="113" t="s">
        <v>67</v>
      </c>
      <c r="F157" s="180">
        <f>H50-SUM(F57:H156)</f>
        <v>0</v>
      </c>
      <c r="G157" s="180"/>
      <c r="H157" s="180"/>
      <c r="K157" s="19"/>
      <c r="L157" s="19"/>
      <c r="M157" s="19"/>
      <c r="N157" s="19"/>
      <c r="O157" s="19"/>
    </row>
    <row r="158" spans="1:15" ht="13.8" thickBot="1" x14ac:dyDescent="0.3">
      <c r="A158" s="11" t="s">
        <v>68</v>
      </c>
      <c r="B158" s="8"/>
      <c r="C158" s="12">
        <f>SUM(C53:C157)</f>
        <v>0</v>
      </c>
      <c r="D158" s="8"/>
      <c r="E158" s="121" t="s">
        <v>21</v>
      </c>
      <c r="F158" s="177">
        <f>SUM(F57:H157)</f>
        <v>0</v>
      </c>
      <c r="G158" s="178"/>
      <c r="H158" s="179"/>
      <c r="K158" s="19"/>
      <c r="L158" s="19"/>
      <c r="M158" s="19"/>
      <c r="N158" s="19"/>
      <c r="O158" s="19"/>
    </row>
    <row r="159" spans="1:15" ht="13.2" x14ac:dyDescent="0.25">
      <c r="A159" s="11"/>
      <c r="B159" s="8"/>
      <c r="C159" s="66"/>
      <c r="D159" s="8"/>
      <c r="E159" s="8"/>
      <c r="F159" s="66"/>
      <c r="G159" s="8"/>
      <c r="H159" s="66"/>
      <c r="K159" s="19"/>
      <c r="L159" s="19"/>
      <c r="M159" s="19"/>
      <c r="N159" s="19"/>
      <c r="O159" s="19"/>
    </row>
    <row r="160" spans="1:15" s="8" customFormat="1" ht="13.2" x14ac:dyDescent="0.25">
      <c r="J160" s="19"/>
      <c r="K160" s="19"/>
      <c r="L160" s="19"/>
      <c r="M160" s="19"/>
      <c r="N160" s="19"/>
      <c r="O160" s="19"/>
    </row>
    <row r="161" spans="11:15" ht="13.2" x14ac:dyDescent="0.25">
      <c r="K161" s="19"/>
      <c r="L161" s="19"/>
      <c r="M161" s="19"/>
      <c r="N161" s="19"/>
      <c r="O161" s="19"/>
    </row>
    <row r="162" spans="11:15" ht="10.95" customHeight="1" x14ac:dyDescent="0.25">
      <c r="K162" s="19"/>
      <c r="L162" s="19"/>
      <c r="M162" s="19"/>
      <c r="N162" s="19"/>
      <c r="O162" s="19"/>
    </row>
  </sheetData>
  <sheetProtection algorithmName="SHA-512" hashValue="25Fe7veM7OVMtnB2936pzGuOhpNFC1cUIVRe0tvm/KOsNuPsf+V+IAAMMBXj8ZOD7Xw83MOQe1X5ybOr2r7L7A==" saltValue="3Tmm7lGyxBlAtk6UPD8hIQ==" spinCount="100000" sheet="1" formatColumns="0" formatRows="0" insertColumns="0" insertRows="0" selectLockedCells="1"/>
  <mergeCells count="131">
    <mergeCell ref="F158:H158"/>
    <mergeCell ref="F157:H157"/>
    <mergeCell ref="C28:D28"/>
    <mergeCell ref="F152:H152"/>
    <mergeCell ref="F153:H153"/>
    <mergeCell ref="F154:H154"/>
    <mergeCell ref="F155:H155"/>
    <mergeCell ref="F156:H156"/>
    <mergeCell ref="F147:H147"/>
    <mergeCell ref="F148:H148"/>
    <mergeCell ref="F149:H149"/>
    <mergeCell ref="F150:H150"/>
    <mergeCell ref="F151:H151"/>
    <mergeCell ref="F142:H142"/>
    <mergeCell ref="F143:H143"/>
    <mergeCell ref="F144:H144"/>
    <mergeCell ref="F145:H145"/>
    <mergeCell ref="F146:H146"/>
    <mergeCell ref="F137:H137"/>
    <mergeCell ref="F138:H138"/>
    <mergeCell ref="F139:H139"/>
    <mergeCell ref="F140:H140"/>
    <mergeCell ref="F141:H141"/>
    <mergeCell ref="F132:H132"/>
    <mergeCell ref="F133:H133"/>
    <mergeCell ref="F134:H134"/>
    <mergeCell ref="F135:H135"/>
    <mergeCell ref="F136:H136"/>
    <mergeCell ref="F127:H127"/>
    <mergeCell ref="F128:H128"/>
    <mergeCell ref="F129:H129"/>
    <mergeCell ref="F130:H130"/>
    <mergeCell ref="F131:H131"/>
    <mergeCell ref="F122:H122"/>
    <mergeCell ref="F123:H123"/>
    <mergeCell ref="F124:H124"/>
    <mergeCell ref="F125:H125"/>
    <mergeCell ref="F126:H126"/>
    <mergeCell ref="F117:H117"/>
    <mergeCell ref="F118:H118"/>
    <mergeCell ref="F119:H119"/>
    <mergeCell ref="F120:H120"/>
    <mergeCell ref="F121:H121"/>
    <mergeCell ref="F112:H112"/>
    <mergeCell ref="F113:H113"/>
    <mergeCell ref="F114:H114"/>
    <mergeCell ref="F115:H115"/>
    <mergeCell ref="F116:H116"/>
    <mergeCell ref="F107:H107"/>
    <mergeCell ref="F108:H108"/>
    <mergeCell ref="F109:H109"/>
    <mergeCell ref="F110:H110"/>
    <mergeCell ref="F111:H111"/>
    <mergeCell ref="F102:H102"/>
    <mergeCell ref="F103:H103"/>
    <mergeCell ref="F104:H104"/>
    <mergeCell ref="F105:H105"/>
    <mergeCell ref="F106:H106"/>
    <mergeCell ref="F97:H97"/>
    <mergeCell ref="F98:H98"/>
    <mergeCell ref="F99:H99"/>
    <mergeCell ref="F100:H100"/>
    <mergeCell ref="F101:H101"/>
    <mergeCell ref="F92:H92"/>
    <mergeCell ref="F93:H93"/>
    <mergeCell ref="F94:H94"/>
    <mergeCell ref="F95:H95"/>
    <mergeCell ref="F96:H96"/>
    <mergeCell ref="F87:H87"/>
    <mergeCell ref="F88:H88"/>
    <mergeCell ref="F89:H89"/>
    <mergeCell ref="F90:H90"/>
    <mergeCell ref="F91:H91"/>
    <mergeCell ref="F82:H82"/>
    <mergeCell ref="F83:H83"/>
    <mergeCell ref="F84:H84"/>
    <mergeCell ref="F85:H85"/>
    <mergeCell ref="F86:H86"/>
    <mergeCell ref="F77:H77"/>
    <mergeCell ref="F78:H78"/>
    <mergeCell ref="F79:H79"/>
    <mergeCell ref="F80:H80"/>
    <mergeCell ref="F81:H81"/>
    <mergeCell ref="F72:H72"/>
    <mergeCell ref="F73:H73"/>
    <mergeCell ref="F74:H74"/>
    <mergeCell ref="F75:H75"/>
    <mergeCell ref="F76:H76"/>
    <mergeCell ref="F67:H67"/>
    <mergeCell ref="F68:H68"/>
    <mergeCell ref="F69:H69"/>
    <mergeCell ref="F70:H70"/>
    <mergeCell ref="F71:H71"/>
    <mergeCell ref="F62:H62"/>
    <mergeCell ref="F63:H63"/>
    <mergeCell ref="F64:H64"/>
    <mergeCell ref="F65:H65"/>
    <mergeCell ref="F66:H66"/>
    <mergeCell ref="F57:H57"/>
    <mergeCell ref="F58:H58"/>
    <mergeCell ref="F59:H59"/>
    <mergeCell ref="F60:H60"/>
    <mergeCell ref="F61:H61"/>
    <mergeCell ref="K37:O40"/>
    <mergeCell ref="F52:G53"/>
    <mergeCell ref="K52:O56"/>
    <mergeCell ref="E54:H55"/>
    <mergeCell ref="E56:H56"/>
    <mergeCell ref="F47:G48"/>
    <mergeCell ref="H47:H48"/>
    <mergeCell ref="K27:O29"/>
    <mergeCell ref="C29:D29"/>
    <mergeCell ref="C30:D30"/>
    <mergeCell ref="C31:D31"/>
    <mergeCell ref="F31:H31"/>
    <mergeCell ref="C32:D32"/>
    <mergeCell ref="K31:O34"/>
    <mergeCell ref="K22:O24"/>
    <mergeCell ref="F23:G24"/>
    <mergeCell ref="H23:H24"/>
    <mergeCell ref="D2:E2"/>
    <mergeCell ref="B5:D5"/>
    <mergeCell ref="G5:H5"/>
    <mergeCell ref="B6:D6"/>
    <mergeCell ref="G6:H6"/>
    <mergeCell ref="B7:D7"/>
    <mergeCell ref="K11:O15"/>
    <mergeCell ref="C12:D12"/>
    <mergeCell ref="K16:O19"/>
    <mergeCell ref="F20:G21"/>
    <mergeCell ref="H20:H21"/>
  </mergeCells>
  <conditionalFormatting sqref="C33">
    <cfRule type="cellIs" dxfId="72" priority="22" operator="equal">
      <formula>$A$33&lt;&gt;"Aantal uur verlof"</formula>
    </cfRule>
    <cfRule type="cellIs" dxfId="73" priority="23" operator="equal">
      <formula>""""""</formula>
    </cfRule>
    <cfRule type="cellIs" dxfId="74" priority="24" operator="between">
      <formula>1</formula>
      <formula>500</formula>
    </cfRule>
    <cfRule type="expression" dxfId="71" priority="1">
      <formula>$A$33&lt;&gt;""</formula>
    </cfRule>
  </conditionalFormatting>
  <conditionalFormatting sqref="C47">
    <cfRule type="cellIs" dxfId="93" priority="19" operator="equal">
      <formula>$D$47&lt;&gt;"Niet toegestaan"</formula>
    </cfRule>
  </conditionalFormatting>
  <conditionalFormatting sqref="C32:D32">
    <cfRule type="containsText" dxfId="92" priority="20" operator="containsText" text="e">
      <formula>NOT(ISERROR(SEARCH("e",C32)))</formula>
    </cfRule>
    <cfRule type="cellIs" dxfId="91" priority="21" operator="equal">
      <formula>$A$32&lt;&gt;"Recht duurzame inzetbaarheid"</formula>
    </cfRule>
    <cfRule type="expression" dxfId="90" priority="2">
      <formula>$A$32&lt;&gt;""</formula>
    </cfRule>
  </conditionalFormatting>
  <conditionalFormatting sqref="D33">
    <cfRule type="cellIs" dxfId="88" priority="6" operator="equal">
      <formula>""""</formula>
    </cfRule>
    <cfRule type="cellIs" dxfId="87" priority="7" operator="between">
      <formula>0</formula>
      <formula>100</formula>
    </cfRule>
  </conditionalFormatting>
  <conditionalFormatting sqref="F157">
    <cfRule type="cellIs" dxfId="86" priority="3" operator="lessThan">
      <formula>0</formula>
    </cfRule>
  </conditionalFormatting>
  <conditionalFormatting sqref="F33:H33">
    <cfRule type="cellIs" dxfId="85" priority="10" operator="between">
      <formula>0.0001</formula>
      <formula>99999</formula>
    </cfRule>
  </conditionalFormatting>
  <conditionalFormatting sqref="G33:H33">
    <cfRule type="cellIs" dxfId="84" priority="8" operator="equal">
      <formula>$F$30&lt;&gt;"Werktijdfactor verlof"</formula>
    </cfRule>
  </conditionalFormatting>
  <conditionalFormatting sqref="H19">
    <cfRule type="cellIs" dxfId="83" priority="15" operator="equal">
      <formula>$C$33&lt;&gt;"=&gt;0"</formula>
    </cfRule>
  </conditionalFormatting>
  <conditionalFormatting sqref="H20:H21">
    <cfRule type="containsText" dxfId="82" priority="13" operator="containsText" text="u">
      <formula>NOT(ISERROR(SEARCH("u",H20)))</formula>
    </cfRule>
    <cfRule type="cellIs" dxfId="81" priority="16" operator="equal">
      <formula>$F$32&lt;&gt;"Lesuren"</formula>
    </cfRule>
  </conditionalFormatting>
  <conditionalFormatting sqref="H22">
    <cfRule type="cellIs" dxfId="80" priority="14" operator="equal">
      <formula>$C$33&lt;&gt;"&gt;0"</formula>
    </cfRule>
  </conditionalFormatting>
  <conditionalFormatting sqref="H29">
    <cfRule type="cellIs" dxfId="79" priority="17" operator="equal">
      <formula>$C$29&lt;&gt;"Ja"</formula>
    </cfRule>
    <cfRule type="cellIs" dxfId="78" priority="18" operator="between">
      <formula>1</formula>
      <formula>1300</formula>
    </cfRule>
  </conditionalFormatting>
  <conditionalFormatting sqref="H30">
    <cfRule type="cellIs" dxfId="77" priority="11" operator="equal">
      <formula>$C$30&lt;&gt;"Ja"</formula>
    </cfRule>
    <cfRule type="cellIs" dxfId="76" priority="12" operator="between">
      <formula>0.0001</formula>
      <formula>2</formula>
    </cfRule>
  </conditionalFormatting>
  <conditionalFormatting sqref="H34">
    <cfRule type="cellIs" dxfId="75" priority="9" operator="equal">
      <formula>$F$30&lt;&gt;"Werktijdfactor verlof"</formula>
    </cfRule>
  </conditionalFormatting>
  <dataValidations count="6">
    <dataValidation allowBlank="1" showInputMessage="1" showErrorMessage="1" errorTitle="Ongeldige invoer" error="Het ingevulde aantal uur verlof overstijgt het totaal aantal lesuren. Kies voor een lager aantal uur verlof." sqref="F33:H33" xr:uid="{00000000-0002-0000-0000-000000000000}"/>
    <dataValidation type="whole" allowBlank="1" showInputMessage="1" showErrorMessage="1" errorTitle="Foutieve invoer" error="Het aantal uur verlof past niet binnen uw budget" sqref="C33" xr:uid="{00000000-0002-0000-0000-000001000000}">
      <formula1>0</formula1>
      <formula2>IF(C32="Overgangsregeling 56+",ROUND(340*LEFT(H23,2)/40,0),IF(C32="Overgangsregeling 52+",ROUND(170*LEFT(H23,2)/40,0),IF(C32="Basis en bijzonder budget",ROUND(170*LEFT(H23,2)/40,0),"")))</formula2>
    </dataValidation>
    <dataValidation type="whole" allowBlank="1" showInputMessage="1" showErrorMessage="1" errorTitle="Foutieve invoer" error="Het aantal uur verlof past niet binnen uw budget" sqref="G35" xr:uid="{00000000-0002-0000-0000-000002000000}">
      <formula1>0</formula1>
      <formula2>IF(#REF!="Overgangsregeling 56+",ROUND(340*LEFT(H26,2)/40,0),IF(#REF!="Overgangsregeling 52+",ROUND(170*LEFT(H26,2)/40,0),IF(#REF!="Basis en bijzonder budget",ROUND(170*LEFT(H26,2)/40,0),"")))</formula2>
    </dataValidation>
    <dataValidation type="decimal" errorStyle="warning" operator="equal" allowBlank="1" showInputMessage="1" showErrorMessage="1" errorTitle="Let op:" error="Het aantal lesuren van deze werknemer wijkt af van het ingevoerde schoolbrede aantal" sqref="G14:G18" xr:uid="{00000000-0002-0000-0000-000003000000}">
      <formula1>C14</formula1>
    </dataValidation>
    <dataValidation type="list" allowBlank="1" showInputMessage="1" showErrorMessage="1" sqref="C29:C30 C28:D28" xr:uid="{00000000-0002-0000-0000-000004000000}">
      <formula1>"Ja,Nee"</formula1>
    </dataValidation>
    <dataValidation type="list" allowBlank="1" showInputMessage="1" showErrorMessage="1" sqref="C32:D32" xr:uid="{00000000-0002-0000-0000-000005000000}">
      <formula1>$T$22:$T$24</formula1>
    </dataValidation>
  </dataValidations>
  <pageMargins left="0.7" right="0.7" top="0.75" bottom="0.75" header="0.3" footer="0.3"/>
  <pageSetup paperSize="9" scale="87"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292205DE-E856-4477-BDA0-61AD6BB26528}">
            <xm:f>NOT(ISERROR(SEARCH($D$34&lt;&gt;"Professionalisering",D33)))</xm:f>
            <xm:f>$D$34&lt;&gt;"Professionalisering"</xm:f>
            <x14:dxf>
              <border>
                <bottom style="thin">
                  <color auto="1"/>
                </bottom>
                <vertical/>
                <horizontal/>
              </border>
            </x14:dxf>
          </x14:cfRule>
          <xm:sqref>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dimension ref="A1:V111"/>
  <sheetViews>
    <sheetView topLeftCell="A9" zoomScaleNormal="100" workbookViewId="0">
      <selection activeCell="B36" sqref="B36:C36"/>
    </sheetView>
  </sheetViews>
  <sheetFormatPr defaultColWidth="0" defaultRowHeight="12.75" customHeight="1" zeroHeight="1" x14ac:dyDescent="0.25"/>
  <cols>
    <col min="1" max="1" width="27" customWidth="1"/>
    <col min="2" max="4" width="11.33203125" customWidth="1"/>
    <col min="5" max="5" width="7.5546875" customWidth="1"/>
    <col min="6" max="7" width="14.33203125" customWidth="1"/>
    <col min="8" max="8" width="14.44140625" customWidth="1"/>
    <col min="9" max="9" width="1.44140625" style="8" customWidth="1"/>
    <col min="10" max="10" width="2" style="19" customWidth="1"/>
    <col min="11" max="15" width="13.6640625" style="19" customWidth="1"/>
    <col min="16" max="17" width="13.6640625" style="8" hidden="1" customWidth="1"/>
    <col min="18" max="18" width="10.33203125" hidden="1" customWidth="1"/>
    <col min="19" max="19" width="9.44140625" hidden="1" customWidth="1"/>
    <col min="20" max="20" width="10.109375" hidden="1" customWidth="1"/>
    <col min="21" max="16384" width="9.33203125" hidden="1"/>
  </cols>
  <sheetData>
    <row r="1" spans="1:21" ht="12.75" customHeight="1" x14ac:dyDescent="0.25">
      <c r="A1" s="84" t="str">
        <f>'wtf OP, obv lesuren'!A1</f>
        <v>Versie mei 2026</v>
      </c>
      <c r="B1" s="8"/>
      <c r="C1" s="8"/>
      <c r="D1" s="8"/>
      <c r="E1" s="8"/>
      <c r="F1" s="8"/>
      <c r="G1" s="8"/>
      <c r="H1" s="8"/>
    </row>
    <row r="2" spans="1:21" ht="17.399999999999999" x14ac:dyDescent="0.3">
      <c r="A2" s="79" t="s">
        <v>69</v>
      </c>
      <c r="B2" s="8"/>
      <c r="C2" s="151" t="str">
        <f>'wtf OP, obv lesuren'!D2</f>
        <v>2026-2027</v>
      </c>
      <c r="D2" s="152"/>
      <c r="E2" s="8"/>
      <c r="F2" s="8"/>
      <c r="G2" s="8"/>
      <c r="H2" s="8"/>
      <c r="U2" s="24"/>
    </row>
    <row r="3" spans="1:21" ht="13.2" x14ac:dyDescent="0.25">
      <c r="A3" s="8"/>
      <c r="B3" s="8"/>
      <c r="C3" s="8"/>
      <c r="D3" s="8"/>
      <c r="E3" s="8"/>
      <c r="F3" s="8"/>
      <c r="G3" s="8"/>
      <c r="H3" s="8"/>
    </row>
    <row r="4" spans="1:21" ht="13.2" x14ac:dyDescent="0.25">
      <c r="A4" s="25" t="s">
        <v>1</v>
      </c>
      <c r="B4" s="8"/>
      <c r="C4" s="8"/>
      <c r="D4" s="8"/>
      <c r="E4" s="25" t="s">
        <v>2</v>
      </c>
      <c r="F4" s="8"/>
      <c r="G4" s="8"/>
    </row>
    <row r="5" spans="1:21" ht="13.2" x14ac:dyDescent="0.25">
      <c r="A5" s="8" t="s">
        <v>3</v>
      </c>
      <c r="B5" s="153"/>
      <c r="C5" s="153"/>
      <c r="D5" s="153"/>
      <c r="E5" s="8" t="s">
        <v>4</v>
      </c>
      <c r="F5" s="153"/>
      <c r="G5" s="153"/>
      <c r="H5" s="153"/>
      <c r="I5" s="153"/>
    </row>
    <row r="6" spans="1:21" ht="13.2" x14ac:dyDescent="0.25">
      <c r="A6" s="8" t="s">
        <v>5</v>
      </c>
      <c r="B6" s="153"/>
      <c r="C6" s="153"/>
      <c r="D6" s="153"/>
      <c r="E6" s="8" t="s">
        <v>6</v>
      </c>
      <c r="F6" s="153"/>
      <c r="G6" s="153"/>
      <c r="H6" s="153"/>
      <c r="I6" s="153"/>
    </row>
    <row r="7" spans="1:21" ht="13.2" x14ac:dyDescent="0.25">
      <c r="A7" s="8" t="s">
        <v>7</v>
      </c>
      <c r="B7" s="154"/>
      <c r="C7" s="153"/>
      <c r="D7" s="153"/>
      <c r="E7" s="8"/>
      <c r="F7" s="8"/>
      <c r="G7" s="8"/>
      <c r="H7" s="8"/>
      <c r="U7" s="11"/>
    </row>
    <row r="8" spans="1:21" ht="13.2" x14ac:dyDescent="0.25">
      <c r="A8" s="8" t="s">
        <v>70</v>
      </c>
      <c r="B8" s="186"/>
      <c r="C8" s="186"/>
      <c r="D8" s="186"/>
      <c r="E8" s="186"/>
      <c r="F8" s="186"/>
      <c r="G8" s="186"/>
      <c r="H8" s="186"/>
      <c r="I8" s="186"/>
      <c r="U8" s="11"/>
    </row>
    <row r="9" spans="1:21" ht="13.2" x14ac:dyDescent="0.25">
      <c r="A9" s="8"/>
      <c r="B9" s="26"/>
      <c r="C9" s="8"/>
      <c r="D9" s="8"/>
      <c r="E9" s="8"/>
      <c r="F9" s="8"/>
      <c r="G9" s="8"/>
      <c r="H9" s="32" t="e">
        <f>40/(940/C10)</f>
        <v>#DIV/0!</v>
      </c>
      <c r="U9" s="11"/>
    </row>
    <row r="10" spans="1:21" ht="13.2" x14ac:dyDescent="0.25">
      <c r="A10" s="8" t="s">
        <v>8</v>
      </c>
      <c r="B10" s="11"/>
      <c r="C10" s="4"/>
      <c r="E10" s="8" t="s">
        <v>9</v>
      </c>
      <c r="F10" s="8"/>
      <c r="H10" s="116"/>
      <c r="U10" s="11"/>
    </row>
    <row r="11" spans="1:21" ht="13.8" thickBot="1" x14ac:dyDescent="0.3">
      <c r="A11" s="27"/>
      <c r="B11" s="27"/>
      <c r="C11" s="27"/>
      <c r="D11" s="27"/>
      <c r="E11" s="27"/>
      <c r="F11" s="27"/>
      <c r="G11" s="27"/>
      <c r="H11" s="27"/>
      <c r="I11" s="27"/>
      <c r="J11" s="28"/>
      <c r="K11" s="71" t="s">
        <v>10</v>
      </c>
      <c r="L11" s="28"/>
      <c r="M11" s="28"/>
      <c r="N11" s="28"/>
      <c r="O11" s="28"/>
    </row>
    <row r="12" spans="1:21" ht="13.2" x14ac:dyDescent="0.25">
      <c r="A12" s="8"/>
      <c r="B12" s="8"/>
      <c r="C12" s="8"/>
      <c r="D12" s="8"/>
      <c r="E12" s="8"/>
      <c r="F12" s="8"/>
      <c r="G12" s="8"/>
      <c r="H12" s="8"/>
      <c r="K12" s="155" t="s">
        <v>71</v>
      </c>
      <c r="L12" s="155"/>
      <c r="M12" s="155"/>
      <c r="N12" s="155"/>
      <c r="O12" s="155"/>
      <c r="P12" s="29"/>
      <c r="Q12" s="29"/>
    </row>
    <row r="13" spans="1:21" ht="14.25" customHeight="1" x14ac:dyDescent="0.25">
      <c r="A13" s="72" t="s">
        <v>72</v>
      </c>
      <c r="B13" s="73"/>
      <c r="C13" s="8"/>
      <c r="D13" s="8"/>
      <c r="E13" s="8"/>
      <c r="F13" s="8"/>
      <c r="G13" s="8"/>
      <c r="I13" s="32"/>
      <c r="K13" s="147"/>
      <c r="L13" s="147"/>
      <c r="M13" s="147"/>
      <c r="N13" s="147"/>
      <c r="O13" s="147"/>
      <c r="P13" s="29"/>
      <c r="Q13" s="29"/>
    </row>
    <row r="14" spans="1:21" ht="14.25" customHeight="1" x14ac:dyDescent="0.25">
      <c r="A14" s="72"/>
      <c r="B14" s="73"/>
      <c r="C14" s="8"/>
      <c r="D14" s="8"/>
      <c r="E14" s="8"/>
      <c r="F14" s="8"/>
      <c r="G14" s="8"/>
      <c r="H14" s="32"/>
      <c r="I14" s="32"/>
      <c r="K14" s="147"/>
      <c r="L14" s="147"/>
      <c r="M14" s="147"/>
      <c r="N14" s="147"/>
      <c r="O14" s="147"/>
      <c r="P14" s="29"/>
      <c r="Q14" s="29"/>
    </row>
    <row r="15" spans="1:21" ht="13.2" x14ac:dyDescent="0.25">
      <c r="A15" s="11"/>
      <c r="B15" s="190" t="s">
        <v>73</v>
      </c>
      <c r="C15" s="190"/>
      <c r="D15" s="190"/>
      <c r="E15" s="8"/>
      <c r="F15" s="190" t="s">
        <v>74</v>
      </c>
      <c r="G15" s="190"/>
      <c r="H15" s="190"/>
      <c r="I15" s="122"/>
      <c r="K15" s="147"/>
      <c r="L15" s="147"/>
      <c r="M15" s="147"/>
      <c r="N15" s="147"/>
      <c r="O15" s="147"/>
      <c r="P15" s="29"/>
      <c r="Q15" s="29"/>
    </row>
    <row r="16" spans="1:21" ht="12.75" customHeight="1" x14ac:dyDescent="0.25">
      <c r="A16" s="30"/>
      <c r="B16" s="188" t="s">
        <v>75</v>
      </c>
      <c r="C16" s="187" t="s">
        <v>76</v>
      </c>
      <c r="D16" s="187"/>
      <c r="E16" s="74"/>
      <c r="F16" s="188" t="s">
        <v>75</v>
      </c>
      <c r="G16" s="187" t="s">
        <v>76</v>
      </c>
      <c r="H16" s="187"/>
      <c r="I16" s="123"/>
      <c r="K16" s="194" t="s">
        <v>77</v>
      </c>
      <c r="L16" s="194"/>
      <c r="M16" s="194"/>
      <c r="N16" s="194"/>
      <c r="O16" s="194"/>
      <c r="P16" s="29"/>
      <c r="Q16" s="29"/>
    </row>
    <row r="17" spans="1:20" ht="12.75" customHeight="1" x14ac:dyDescent="0.25">
      <c r="A17" s="30"/>
      <c r="B17" s="189"/>
      <c r="C17" s="31" t="s">
        <v>78</v>
      </c>
      <c r="D17" s="74" t="s">
        <v>79</v>
      </c>
      <c r="E17" s="74"/>
      <c r="F17" s="189"/>
      <c r="G17" s="31" t="s">
        <v>78</v>
      </c>
      <c r="H17" s="74" t="s">
        <v>79</v>
      </c>
      <c r="I17" s="74"/>
      <c r="K17" s="194"/>
      <c r="L17" s="194"/>
      <c r="M17" s="194"/>
      <c r="N17" s="194"/>
      <c r="O17" s="194"/>
      <c r="P17" s="29"/>
      <c r="Q17" s="29"/>
    </row>
    <row r="18" spans="1:20" ht="12.75" customHeight="1" x14ac:dyDescent="0.25">
      <c r="A18" s="95" t="s">
        <v>15</v>
      </c>
      <c r="B18" s="1"/>
      <c r="C18" s="21"/>
      <c r="D18" s="21"/>
      <c r="E18" s="34"/>
      <c r="F18" s="1"/>
      <c r="G18" s="21"/>
      <c r="H18" s="21"/>
      <c r="I18" s="34"/>
      <c r="K18" s="194"/>
      <c r="L18" s="194"/>
      <c r="M18" s="194"/>
      <c r="N18" s="194"/>
      <c r="O18" s="194"/>
      <c r="P18" s="29"/>
      <c r="Q18" s="29"/>
      <c r="R18" t="e">
        <f>-G34/C10</f>
        <v>#DIV/0!</v>
      </c>
    </row>
    <row r="19" spans="1:20" ht="13.2" x14ac:dyDescent="0.25">
      <c r="A19" s="95" t="s">
        <v>16</v>
      </c>
      <c r="B19" s="1"/>
      <c r="C19" s="21"/>
      <c r="D19" s="21"/>
      <c r="E19" s="34"/>
      <c r="F19" s="1"/>
      <c r="G19" s="21"/>
      <c r="H19" s="21"/>
      <c r="I19" s="34"/>
      <c r="K19" s="194"/>
      <c r="L19" s="194"/>
      <c r="M19" s="194"/>
      <c r="N19" s="194"/>
      <c r="O19" s="194"/>
      <c r="P19" s="29"/>
      <c r="Q19" s="29"/>
    </row>
    <row r="20" spans="1:20" ht="12.75" customHeight="1" x14ac:dyDescent="0.25">
      <c r="A20" s="95" t="s">
        <v>17</v>
      </c>
      <c r="B20" s="1"/>
      <c r="C20" s="21"/>
      <c r="D20" s="21"/>
      <c r="E20" s="34"/>
      <c r="F20" s="1"/>
      <c r="G20" s="21"/>
      <c r="H20" s="21"/>
      <c r="I20" s="34"/>
      <c r="K20" s="194"/>
      <c r="L20" s="194"/>
      <c r="M20" s="194"/>
      <c r="N20" s="194"/>
      <c r="O20" s="194"/>
      <c r="P20" s="29"/>
      <c r="Q20" s="29"/>
    </row>
    <row r="21" spans="1:20" ht="12.75" customHeight="1" x14ac:dyDescent="0.25">
      <c r="A21" s="95" t="s">
        <v>19</v>
      </c>
      <c r="B21" s="1"/>
      <c r="C21" s="21"/>
      <c r="D21" s="21"/>
      <c r="E21" s="34"/>
      <c r="F21" s="1"/>
      <c r="G21" s="21"/>
      <c r="H21" s="21"/>
      <c r="I21" s="34"/>
      <c r="K21" s="194"/>
      <c r="L21" s="194"/>
      <c r="M21" s="194"/>
      <c r="N21" s="194"/>
      <c r="O21" s="194"/>
      <c r="P21" s="29"/>
      <c r="Q21" s="29"/>
    </row>
    <row r="22" spans="1:20" ht="12.75" customHeight="1" x14ac:dyDescent="0.25">
      <c r="A22" s="95" t="s">
        <v>20</v>
      </c>
      <c r="B22" s="1"/>
      <c r="C22" s="21"/>
      <c r="D22" s="21"/>
      <c r="E22" s="34"/>
      <c r="F22" s="1"/>
      <c r="G22" s="21"/>
      <c r="H22" s="21"/>
      <c r="I22" s="34"/>
      <c r="K22" s="194"/>
      <c r="L22" s="194"/>
      <c r="M22" s="194"/>
      <c r="N22" s="194"/>
      <c r="O22" s="194"/>
      <c r="P22" s="29"/>
      <c r="Q22" s="29"/>
    </row>
    <row r="23" spans="1:20" ht="13.2" x14ac:dyDescent="0.25">
      <c r="A23" s="96" t="s">
        <v>21</v>
      </c>
      <c r="B23" s="36">
        <f>SUM(B18:B22)</f>
        <v>0</v>
      </c>
      <c r="C23" s="185">
        <f>SUM(C18:D22)</f>
        <v>0</v>
      </c>
      <c r="D23" s="185"/>
      <c r="E23" s="37"/>
      <c r="F23" s="36">
        <f>SUM(F18:F22)</f>
        <v>0</v>
      </c>
      <c r="G23" s="185">
        <f>SUM(G18:H22)</f>
        <v>0</v>
      </c>
      <c r="H23" s="185"/>
      <c r="I23" s="37"/>
      <c r="K23" s="194"/>
      <c r="L23" s="194"/>
      <c r="M23" s="194"/>
      <c r="N23" s="194"/>
      <c r="O23" s="194"/>
      <c r="P23" s="29"/>
      <c r="Q23" s="29"/>
    </row>
    <row r="24" spans="1:20" ht="12.75" customHeight="1" x14ac:dyDescent="0.25">
      <c r="A24" s="11"/>
      <c r="B24" s="8"/>
      <c r="C24" s="181" t="str">
        <f>IF(B38&gt;0,"Totaal exclusief verlofuren","")</f>
        <v/>
      </c>
      <c r="D24" s="181"/>
      <c r="E24" s="181"/>
      <c r="F24" s="86" t="str">
        <f>IF(C24="","",C53/C10)</f>
        <v/>
      </c>
      <c r="G24" s="37"/>
      <c r="H24" s="37"/>
      <c r="I24" s="37"/>
      <c r="J24" s="38"/>
      <c r="K24" s="194"/>
      <c r="L24" s="194"/>
      <c r="M24" s="194"/>
      <c r="N24" s="194"/>
      <c r="O24" s="194"/>
      <c r="P24" s="29"/>
      <c r="Q24" s="29"/>
    </row>
    <row r="25" spans="1:20" ht="12.75" customHeight="1" x14ac:dyDescent="0.25">
      <c r="A25" s="11"/>
      <c r="C25" s="87"/>
      <c r="E25" s="31"/>
      <c r="F25" s="157" t="str">
        <f>IF(B38&gt;0,"Werktijdfactor exclusief verlof duurz. inz.:",IF(G35&gt;0,"Werktijdfactor ouderschapsverlof:",""))</f>
        <v/>
      </c>
      <c r="G25" s="157"/>
      <c r="H25" s="158" t="str">
        <f>IF(B38&gt;0,FLOOR((LEFT(H28,2)/40-(G55/1659))*40,1)&amp;" uur"&amp;IF((ROUND(((LEFT(H28,2)/40-(G55/1659))*40-FLOOR((LEFT(H28,2)/40-(G55/1659))*40,1))*60,0))=0,""," en "&amp;ROUND(((LEFT(H28,2)/40-(G55/1659))*40-FLOOR((LEFT(H28,2)/40-(G55/1659))*40,1))*60,0)&amp;" minuten"),IF(G35&gt;0,FLOOR((LEFT(H28,2)/40-(G55/1659))*40,1)&amp;" uur"&amp;IF((ROUND(((LEFT(H28,2)/40-(G55/1659))*40-FLOOR((LEFT(H28,2)/40-(G55/1659))*40,1))*60,0))=0,""," en "&amp;ROUND(((LEFT(H28,2)/40-(G55/1659))*40-FLOOR((LEFT(H28,2)/40-(G55/1659))*40,1))*60,0)&amp;" minuten"),""))</f>
        <v/>
      </c>
      <c r="I25" s="37"/>
      <c r="J25" s="38"/>
      <c r="K25" s="194"/>
      <c r="L25" s="194"/>
      <c r="M25" s="194"/>
      <c r="N25" s="194"/>
      <c r="O25" s="194"/>
      <c r="P25" s="29"/>
      <c r="Q25" s="29"/>
      <c r="S25" s="129">
        <f ca="1">YEAR(NOW())-YEAR(C36)</f>
        <v>126</v>
      </c>
      <c r="T25">
        <f ca="1">YEAR(NOW())</f>
        <v>2026</v>
      </c>
    </row>
    <row r="26" spans="1:20" ht="13.2" x14ac:dyDescent="0.25">
      <c r="A26" s="11"/>
      <c r="B26" s="11"/>
      <c r="C26" s="11"/>
      <c r="D26" s="8"/>
      <c r="E26" s="8"/>
      <c r="F26" s="157"/>
      <c r="G26" s="157"/>
      <c r="H26" s="158"/>
      <c r="I26" s="11"/>
      <c r="K26" s="194"/>
      <c r="L26" s="194"/>
      <c r="M26" s="194"/>
      <c r="N26" s="194"/>
      <c r="O26" s="194"/>
      <c r="P26" s="29"/>
      <c r="Q26" s="29"/>
      <c r="S26" s="41">
        <v>21459</v>
      </c>
      <c r="T26" s="41">
        <f ca="1">DATE((T25-57),MONTH(B36),DAY(B36))</f>
        <v>25203</v>
      </c>
    </row>
    <row r="27" spans="1:20" ht="13.5" customHeight="1" thickBot="1" x14ac:dyDescent="0.3">
      <c r="A27" s="30" t="s">
        <v>22</v>
      </c>
      <c r="B27" s="11"/>
      <c r="C27" s="11"/>
      <c r="D27" s="8"/>
      <c r="E27" s="8"/>
      <c r="F27" s="11"/>
      <c r="G27" s="11"/>
      <c r="H27" s="11"/>
      <c r="I27" s="11"/>
      <c r="K27" s="75"/>
      <c r="L27" s="75"/>
      <c r="M27" s="75"/>
      <c r="N27" s="75"/>
      <c r="O27" s="75"/>
      <c r="P27" s="29"/>
      <c r="Q27" s="29"/>
      <c r="S27" s="41"/>
      <c r="T27" t="str">
        <f>IF(B36="","",IF(B36&lt;=S26,"Overgangsregeling 56+",IF(B36&lt;=T26,"Basis en bijzonder budget","")))</f>
        <v/>
      </c>
    </row>
    <row r="28" spans="1:20" ht="12.75" customHeight="1" x14ac:dyDescent="0.25">
      <c r="A28" s="8" t="s">
        <v>80</v>
      </c>
      <c r="B28" s="11"/>
      <c r="C28" s="11"/>
      <c r="D28" s="3"/>
      <c r="E28" s="76"/>
      <c r="F28" s="148" t="s">
        <v>25</v>
      </c>
      <c r="G28" s="182"/>
      <c r="H28" s="183">
        <f>IFERROR(ROUND((G23-G34/C10*H26+(D28+D28*H10+D29)/41.475),0)&amp;" uur",0)</f>
        <v>0</v>
      </c>
      <c r="K28" s="173" t="s">
        <v>81</v>
      </c>
      <c r="L28" s="173"/>
      <c r="M28" s="173"/>
      <c r="N28" s="173"/>
      <c r="O28" s="173"/>
      <c r="P28" s="29"/>
      <c r="Q28" s="29"/>
      <c r="T28" t="str">
        <f>IF(B36="","",IF(B36&lt;=S26,"Basis en bijzonder budget",IF(B36&lt;=T26,"Enkel basis budget","")))</f>
        <v/>
      </c>
    </row>
    <row r="29" spans="1:20" ht="13.5" customHeight="1" thickBot="1" x14ac:dyDescent="0.3">
      <c r="A29" s="8" t="s">
        <v>82</v>
      </c>
      <c r="B29" s="11"/>
      <c r="D29" s="3"/>
      <c r="E29" s="76"/>
      <c r="F29" s="148"/>
      <c r="G29" s="182"/>
      <c r="H29" s="184"/>
      <c r="K29" s="173"/>
      <c r="L29" s="173"/>
      <c r="M29" s="173"/>
      <c r="N29" s="173"/>
      <c r="O29" s="173"/>
      <c r="P29" s="29"/>
      <c r="Q29" s="29"/>
      <c r="R29" s="44"/>
      <c r="T29" t="str">
        <f>IF(B36="","",IF(B36&lt;=S26,"Enkel basis budget",""))</f>
        <v/>
      </c>
    </row>
    <row r="30" spans="1:20" ht="13.8" thickBot="1" x14ac:dyDescent="0.3">
      <c r="A30" s="45"/>
      <c r="B30" s="45"/>
      <c r="C30" s="45"/>
      <c r="D30" s="46"/>
      <c r="E30" s="46"/>
      <c r="F30" s="106" t="s">
        <v>27</v>
      </c>
      <c r="G30" s="104"/>
      <c r="H30" s="105" t="str">
        <f>IF(H28=0,"",LEFT(H28,2)/40)</f>
        <v/>
      </c>
      <c r="I30" s="45"/>
      <c r="J30" s="47"/>
      <c r="K30" s="174"/>
      <c r="L30" s="174"/>
      <c r="M30" s="174"/>
      <c r="N30" s="174"/>
      <c r="O30" s="174"/>
      <c r="P30" s="29"/>
      <c r="Q30" s="29"/>
    </row>
    <row r="31" spans="1:20" s="10" customFormat="1" ht="13.2" x14ac:dyDescent="0.25">
      <c r="A31" s="11"/>
      <c r="B31" s="11"/>
      <c r="C31" s="11"/>
      <c r="D31" s="8"/>
      <c r="E31" s="8"/>
      <c r="F31" s="11"/>
      <c r="G31" s="11"/>
      <c r="H31" s="11"/>
      <c r="I31" s="11"/>
      <c r="J31" s="39"/>
      <c r="K31" s="191" t="s">
        <v>83</v>
      </c>
      <c r="L31" s="191"/>
      <c r="M31" s="191"/>
      <c r="N31" s="191"/>
      <c r="O31" s="191"/>
      <c r="P31" s="49"/>
      <c r="Q31" s="49"/>
    </row>
    <row r="32" spans="1:20" ht="13.2" x14ac:dyDescent="0.25">
      <c r="A32" s="11" t="s">
        <v>28</v>
      </c>
      <c r="B32" s="8"/>
      <c r="C32" s="8"/>
      <c r="D32" s="8"/>
      <c r="E32" s="8"/>
      <c r="F32" s="11"/>
      <c r="G32" s="11"/>
      <c r="H32" s="11"/>
      <c r="I32" s="11"/>
      <c r="K32" s="161"/>
      <c r="L32" s="161"/>
      <c r="M32" s="161"/>
      <c r="N32" s="161"/>
      <c r="O32" s="161"/>
      <c r="S32" t="s">
        <v>30</v>
      </c>
    </row>
    <row r="33" spans="1:22" ht="13.2" x14ac:dyDescent="0.25">
      <c r="A33" s="8" t="s">
        <v>102</v>
      </c>
      <c r="B33" s="167"/>
      <c r="C33" s="167"/>
      <c r="E33" s="8"/>
      <c r="F33" s="11"/>
      <c r="G33" s="11"/>
      <c r="H33" s="11"/>
      <c r="I33" s="11"/>
      <c r="K33" s="114"/>
      <c r="L33" s="114"/>
      <c r="M33" s="114"/>
      <c r="N33" s="114"/>
      <c r="O33" s="114"/>
    </row>
    <row r="34" spans="1:22" ht="13.2" x14ac:dyDescent="0.25">
      <c r="A34" s="8" t="str">
        <f>'wtf OP, obv lesuren'!A29</f>
        <v>Vrij geroosterde lesuren</v>
      </c>
      <c r="B34" s="200"/>
      <c r="C34" s="201"/>
      <c r="D34" s="8" t="str">
        <f>IF(B34="ja","Aantal lesuren verlof per jaar","")</f>
        <v/>
      </c>
      <c r="E34" s="11"/>
      <c r="F34" s="11"/>
      <c r="G34" s="5"/>
      <c r="H34" s="8"/>
      <c r="I34" s="11"/>
      <c r="K34" s="114"/>
      <c r="L34" s="114"/>
      <c r="M34" s="114"/>
      <c r="N34" s="114"/>
      <c r="O34" s="114"/>
    </row>
    <row r="35" spans="1:22" ht="13.2" x14ac:dyDescent="0.25">
      <c r="A35" s="8" t="s">
        <v>33</v>
      </c>
      <c r="B35" s="200"/>
      <c r="C35" s="201"/>
      <c r="D35" s="8" t="str">
        <f>IF(B35="Ja","Werktijdfactor verlof","")</f>
        <v/>
      </c>
      <c r="E35" s="8"/>
      <c r="F35" s="8"/>
      <c r="G35" s="5"/>
      <c r="H35" s="8"/>
      <c r="I35" s="11"/>
      <c r="K35" s="114"/>
      <c r="L35" s="114"/>
      <c r="M35" s="114"/>
      <c r="N35" s="114"/>
      <c r="O35" s="114"/>
    </row>
    <row r="36" spans="1:22" ht="13.2" x14ac:dyDescent="0.25">
      <c r="A36" s="8" t="s">
        <v>34</v>
      </c>
      <c r="B36" s="200"/>
      <c r="C36" s="201"/>
      <c r="D36" s="8"/>
      <c r="E36" s="193" t="str">
        <f>IF(B38&gt;0,"Verdeling uren verlof duurz. inz.","")</f>
        <v/>
      </c>
      <c r="F36" s="193"/>
      <c r="G36" s="193"/>
      <c r="H36" s="193"/>
      <c r="J36" s="39"/>
      <c r="K36" s="147" t="s">
        <v>100</v>
      </c>
      <c r="L36" s="147"/>
      <c r="M36" s="147"/>
      <c r="N36" s="147"/>
      <c r="O36" s="147"/>
      <c r="P36" s="11"/>
      <c r="Q36" s="11"/>
      <c r="R36">
        <f>2014-1958</f>
        <v>56</v>
      </c>
      <c r="S36" t="s">
        <v>35</v>
      </c>
    </row>
    <row r="37" spans="1:22" ht="13.2" x14ac:dyDescent="0.25">
      <c r="A37" s="8" t="str">
        <f>IF(B36="","",IF($B$36&lt;$S$26,"Recht duurzame inzetbaarheid",IF($B$36&lt;=$T$26,"Recht duurzame inzetbaarheid","")))</f>
        <v/>
      </c>
      <c r="B37" s="199"/>
      <c r="C37" s="199"/>
      <c r="E37" s="8"/>
      <c r="F37" s="31" t="str">
        <f>IF(B38&gt;0,"Lesuren","")</f>
        <v/>
      </c>
      <c r="G37" s="31" t="str">
        <f>IF(B38&gt;0,"v/n-werk","")</f>
        <v/>
      </c>
      <c r="H37" s="31" t="str">
        <f>IF(B38&gt;0,"Taakuren","")</f>
        <v/>
      </c>
      <c r="J37" s="39"/>
      <c r="K37" s="147"/>
      <c r="L37" s="147"/>
      <c r="M37" s="147"/>
      <c r="N37" s="147"/>
      <c r="O37" s="147"/>
      <c r="P37" s="11"/>
      <c r="Q37" s="11"/>
      <c r="S37" t="s">
        <v>36</v>
      </c>
      <c r="U37" s="89">
        <f>G35*1659</f>
        <v>0</v>
      </c>
      <c r="V37" s="89"/>
    </row>
    <row r="38" spans="1:22" ht="13.2" x14ac:dyDescent="0.25">
      <c r="A38" s="8" t="str">
        <f>IF(B37="","",IF(B37="Overgangsregeling 52+","Waarvan uren verlof",IF(B37="Overgangsregeling 56+","Waarvan uren verlof",IF(B37="Basis en bijzonder budget","Waarvan uren verlof",""))))</f>
        <v/>
      </c>
      <c r="B38" s="6"/>
      <c r="C38" s="50" t="str">
        <f>IF(B37="Overgangsregeling 56+",ROUND(170*LEFT(H28,2)/40,0)&amp;" - "&amp;ROUND(340*LEFT(H28,2)/40,0),IF(B37="Overgangsregeling 52+","0 - "&amp;ROUND(170*LEFT(H28,2)/40,0),IF(B37="Basis en bijzonder budget","0 - "&amp;ROUND(170*LEFT(H28,2)/40,0),"")))</f>
        <v/>
      </c>
      <c r="D38" s="8" t="str">
        <f>IF(G35&gt;0,"Lesuren","")</f>
        <v/>
      </c>
      <c r="E38" s="8" t="str">
        <f>IFERROR(ROUND(IF(G35&gt;0,U38*U37,""),0),"")</f>
        <v/>
      </c>
      <c r="F38" s="5"/>
      <c r="G38" s="5"/>
      <c r="H38" s="5"/>
      <c r="I38" s="11"/>
      <c r="J38" s="39"/>
      <c r="K38" s="147"/>
      <c r="L38" s="147"/>
      <c r="M38" s="147"/>
      <c r="N38" s="147"/>
      <c r="O38" s="147"/>
      <c r="P38" s="11"/>
      <c r="Q38" s="11"/>
      <c r="S38" s="88">
        <f>ROUND(F23*C10+D28-G34,0)</f>
        <v>0</v>
      </c>
      <c r="T38" s="89"/>
      <c r="U38" s="90" t="e">
        <f>S38/SUM($S$38:$S$43)</f>
        <v>#DIV/0!</v>
      </c>
      <c r="V38" s="89" t="str">
        <f>IFERROR(U38*$U$37,"")</f>
        <v/>
      </c>
    </row>
    <row r="39" spans="1:22" ht="13.2" x14ac:dyDescent="0.25">
      <c r="A39" s="171" t="str">
        <f>IF(G35&gt;0,"Verdeling uren ouderschapsverlof","")</f>
        <v/>
      </c>
      <c r="B39" s="171"/>
      <c r="C39" s="171"/>
      <c r="D39" s="8" t="str">
        <f>IF(G35&gt;0,"v/n-werk","")</f>
        <v/>
      </c>
      <c r="E39" s="8"/>
      <c r="F39" s="97" t="str">
        <f>IFERROR(ROUND(IF(G35&gt;0,U40*U37,""),0),"")</f>
        <v/>
      </c>
      <c r="G39" s="98" t="str">
        <f>IF(B38&gt;0,IF(B38&gt;SUM(F38:H38),"nog "&amp;B38-SUM(F38:H38)&amp;" uur",IF(B38=SUM(F38:H38),"verdeeld","te veel uren")),IF(G35&gt;0,"Taakuren",""))</f>
        <v/>
      </c>
      <c r="H39" s="8" t="str">
        <f>IFERROR(ROUND(IF(G35&gt;0,U43*U37,""),0),"")</f>
        <v/>
      </c>
      <c r="I39" s="11"/>
      <c r="J39" s="39"/>
      <c r="K39" s="147"/>
      <c r="L39" s="147"/>
      <c r="M39" s="147"/>
      <c r="N39" s="147"/>
      <c r="O39" s="147"/>
      <c r="P39" s="11"/>
      <c r="Q39" s="11"/>
      <c r="S39" s="88"/>
      <c r="T39" s="89"/>
      <c r="U39" s="90"/>
      <c r="V39" s="89"/>
    </row>
    <row r="40" spans="1:22" ht="13.8" thickBot="1" x14ac:dyDescent="0.3">
      <c r="A40" s="46"/>
      <c r="B40" s="45"/>
      <c r="C40" s="45"/>
      <c r="D40" s="93" t="str">
        <f>IF(G35&gt;0,"Professionalisering","")</f>
        <v/>
      </c>
      <c r="E40" s="46"/>
      <c r="F40" s="92" t="str">
        <f>IFERROR(ROUND(IF(G35&gt;0,U41*U37,""),0),"")</f>
        <v/>
      </c>
      <c r="G40" s="94" t="str">
        <f>IF(G35&gt;0,"Duurz. inz.","")</f>
        <v/>
      </c>
      <c r="H40" s="91" t="str">
        <f>IFERROR(ROUND(IF(G35&gt;0,U42*U37,""),0),"")</f>
        <v/>
      </c>
      <c r="I40" s="45"/>
      <c r="J40" s="47"/>
      <c r="K40" s="192"/>
      <c r="L40" s="192"/>
      <c r="M40" s="192"/>
      <c r="N40" s="192"/>
      <c r="O40" s="192"/>
      <c r="P40" s="11"/>
      <c r="Q40" s="11"/>
      <c r="S40" s="89">
        <f>ROUND(S38*H10,0)</f>
        <v>0</v>
      </c>
      <c r="T40" s="88">
        <f>S38+S40</f>
        <v>0</v>
      </c>
      <c r="U40" s="90" t="e">
        <f t="shared" ref="U40:U43" si="0">S40/SUM($S$38:$S$43)</f>
        <v>#DIV/0!</v>
      </c>
      <c r="V40" s="89" t="e">
        <f t="shared" ref="V40:V43" si="1">U40*$U$37</f>
        <v>#DIV/0!</v>
      </c>
    </row>
    <row r="41" spans="1:22" ht="13.2" x14ac:dyDescent="0.25">
      <c r="A41" s="8"/>
      <c r="B41" s="11"/>
      <c r="C41" s="11"/>
      <c r="D41" s="8"/>
      <c r="E41" s="8"/>
      <c r="F41" s="11"/>
      <c r="G41" s="11"/>
      <c r="H41" s="11"/>
      <c r="I41" s="11"/>
      <c r="J41" s="39"/>
      <c r="K41" s="11"/>
      <c r="L41" s="11"/>
      <c r="M41" s="11"/>
      <c r="N41" s="11"/>
      <c r="O41" s="11"/>
      <c r="P41" s="11"/>
      <c r="Q41" s="11"/>
      <c r="S41" s="88">
        <f>ROUND(LEFT(H28,2)/40*2*41.475,0)</f>
        <v>0</v>
      </c>
      <c r="T41" s="89"/>
      <c r="U41" s="90" t="e">
        <f t="shared" si="0"/>
        <v>#DIV/0!</v>
      </c>
      <c r="V41" s="89" t="e">
        <f t="shared" si="1"/>
        <v>#DIV/0!</v>
      </c>
    </row>
    <row r="42" spans="1:22" ht="13.2" x14ac:dyDescent="0.25">
      <c r="A42" s="11" t="s">
        <v>37</v>
      </c>
      <c r="B42" s="11"/>
      <c r="C42" s="11"/>
      <c r="D42" s="8"/>
      <c r="E42" s="8"/>
      <c r="F42" s="11"/>
      <c r="G42" s="11"/>
      <c r="H42" s="11"/>
      <c r="I42" s="11"/>
      <c r="J42" s="39"/>
      <c r="K42" s="159" t="s">
        <v>39</v>
      </c>
      <c r="L42" s="159"/>
      <c r="M42" s="159"/>
      <c r="N42" s="159"/>
      <c r="O42" s="159"/>
      <c r="P42" s="66">
        <f>C56+C103+G56</f>
        <v>0</v>
      </c>
      <c r="Q42" s="11"/>
      <c r="R42" t="str">
        <f>IF(B38&gt;0,IF(B38&gt;SUM(F38:H38),"nog "&amp;B38-SUM(F38:H38)&amp;" uren te vullen",IF(B38=SUM(F38:H38),"verlof is verdeeld","te veel verlofuren ingevuld")),"")</f>
        <v/>
      </c>
      <c r="S42" s="88">
        <f>ROUND(IF(A38="",ROUND(LEFT(H28,2)/40*40,0),ROUND(VLOOKUP(B37,$S$52:$T$56,2,FALSE)*LEFT(H28,2)/40,0))-B38,0)</f>
        <v>0</v>
      </c>
      <c r="T42" s="89"/>
      <c r="U42" s="90" t="e">
        <f t="shared" si="0"/>
        <v>#DIV/0!</v>
      </c>
      <c r="V42" s="89" t="e">
        <f t="shared" si="1"/>
        <v>#DIV/0!</v>
      </c>
    </row>
    <row r="43" spans="1:22" ht="13.2" x14ac:dyDescent="0.25">
      <c r="A43" s="6" t="s">
        <v>38</v>
      </c>
      <c r="B43" s="11"/>
      <c r="C43" s="20"/>
      <c r="D43" s="8"/>
      <c r="E43" s="8"/>
      <c r="F43" s="11"/>
      <c r="G43" s="11"/>
      <c r="H43" s="11"/>
      <c r="I43" s="11"/>
      <c r="J43" s="39"/>
      <c r="K43" s="159"/>
      <c r="L43" s="159"/>
      <c r="M43" s="159"/>
      <c r="N43" s="159"/>
      <c r="O43" s="159"/>
      <c r="P43" s="11"/>
      <c r="Q43" s="11"/>
      <c r="S43" s="89">
        <f>IFERROR(ROUND(T60,0),0)</f>
        <v>0</v>
      </c>
      <c r="T43" s="89"/>
      <c r="U43" s="90" t="e">
        <f t="shared" si="0"/>
        <v>#DIV/0!</v>
      </c>
      <c r="V43" s="89" t="e">
        <f t="shared" si="1"/>
        <v>#DIV/0!</v>
      </c>
    </row>
    <row r="44" spans="1:22" ht="13.2" x14ac:dyDescent="0.25">
      <c r="A44" s="6" t="s">
        <v>40</v>
      </c>
      <c r="B44" s="11"/>
      <c r="C44" s="20"/>
      <c r="D44" s="8"/>
      <c r="E44" s="8"/>
      <c r="F44" s="11"/>
      <c r="G44" s="11"/>
      <c r="H44" s="11"/>
      <c r="I44" s="11"/>
      <c r="J44" s="39"/>
      <c r="K44" s="159"/>
      <c r="L44" s="159"/>
      <c r="M44" s="159"/>
      <c r="N44" s="159"/>
      <c r="O44" s="159"/>
    </row>
    <row r="45" spans="1:22" ht="13.2" x14ac:dyDescent="0.25">
      <c r="A45" s="6" t="s">
        <v>41</v>
      </c>
      <c r="B45" s="11"/>
      <c r="C45" s="20"/>
      <c r="D45" s="8"/>
      <c r="E45" s="8"/>
      <c r="F45" s="11"/>
      <c r="G45" s="11"/>
      <c r="H45" s="11"/>
      <c r="I45" s="11"/>
      <c r="J45" s="39"/>
      <c r="K45" s="159"/>
      <c r="L45" s="159"/>
      <c r="M45" s="159"/>
      <c r="N45" s="159"/>
      <c r="O45" s="159"/>
      <c r="P45" s="11"/>
      <c r="Q45" s="11"/>
    </row>
    <row r="46" spans="1:22" ht="13.2" x14ac:dyDescent="0.25">
      <c r="A46" s="6" t="s">
        <v>42</v>
      </c>
      <c r="B46" s="11"/>
      <c r="C46" s="20"/>
      <c r="D46" s="8"/>
      <c r="E46" s="8"/>
      <c r="F46" s="11"/>
      <c r="G46" s="11"/>
      <c r="H46" s="11"/>
      <c r="I46" s="11"/>
      <c r="J46" s="39"/>
      <c r="K46" s="39"/>
      <c r="L46" s="39"/>
      <c r="M46" s="39"/>
      <c r="N46" s="39"/>
      <c r="O46" s="39"/>
      <c r="P46" s="11"/>
      <c r="Q46" s="11"/>
    </row>
    <row r="47" spans="1:22" ht="13.2" x14ac:dyDescent="0.25">
      <c r="A47" s="11" t="s">
        <v>21</v>
      </c>
      <c r="B47" s="11"/>
      <c r="C47" s="52">
        <f>SUM(C43:C46)</f>
        <v>0</v>
      </c>
      <c r="D47" s="8"/>
      <c r="E47" s="8"/>
      <c r="F47" s="11"/>
      <c r="G47" s="11"/>
      <c r="H47" s="11"/>
      <c r="I47" s="11"/>
      <c r="J47" s="39"/>
      <c r="K47" s="39"/>
      <c r="L47" s="39"/>
      <c r="M47" s="39"/>
      <c r="N47" s="39"/>
      <c r="O47" s="39"/>
      <c r="P47" s="11"/>
      <c r="Q47" s="11"/>
    </row>
    <row r="48" spans="1:22" ht="13.8" thickBot="1" x14ac:dyDescent="0.3">
      <c r="A48" s="53"/>
      <c r="B48" s="54"/>
      <c r="C48" s="54"/>
      <c r="D48" s="53"/>
      <c r="E48" s="53"/>
      <c r="F48" s="54"/>
      <c r="G48" s="54"/>
      <c r="H48" s="54"/>
      <c r="I48" s="54"/>
      <c r="J48" s="77"/>
      <c r="K48" s="39"/>
      <c r="L48" s="39"/>
      <c r="M48" s="39"/>
      <c r="N48" s="39"/>
      <c r="O48" s="39"/>
      <c r="P48" s="11"/>
      <c r="Q48" s="11"/>
    </row>
    <row r="49" spans="1:20" ht="13.2" x14ac:dyDescent="0.25">
      <c r="A49" s="11"/>
      <c r="B49" s="11"/>
      <c r="C49" s="11"/>
      <c r="D49" s="8"/>
      <c r="E49" s="8"/>
      <c r="F49" s="11"/>
      <c r="G49" s="11"/>
      <c r="H49" s="16"/>
      <c r="I49" s="16"/>
      <c r="S49" t="str">
        <f>IF(B37="Overgangsregeling 56+",ROUND(340*LEFT(H28,2)/40,0),IF(B37="Overgangsregeling 52+",ROUND(170*LEFT(H28,2)/40,0),IF(B37="Basis en bijzonder budget",ROUND(170*LEFT(H28,2)/40,0),"")))</f>
        <v/>
      </c>
    </row>
    <row r="50" spans="1:20" ht="13.2" x14ac:dyDescent="0.25">
      <c r="A50" s="16" t="s">
        <v>43</v>
      </c>
      <c r="B50" s="11"/>
      <c r="C50" s="11"/>
      <c r="D50" s="8"/>
      <c r="E50" s="8"/>
      <c r="F50" s="11"/>
      <c r="G50" s="11"/>
      <c r="H50" s="16"/>
      <c r="I50" s="16"/>
    </row>
    <row r="51" spans="1:20" ht="13.2" x14ac:dyDescent="0.25">
      <c r="A51" s="16"/>
      <c r="B51" s="11"/>
      <c r="C51" s="11"/>
      <c r="D51" s="8"/>
      <c r="E51" s="8"/>
      <c r="F51" s="11"/>
      <c r="G51" s="16"/>
      <c r="H51" s="16"/>
      <c r="I51" s="16"/>
    </row>
    <row r="52" spans="1:20" ht="13.2" x14ac:dyDescent="0.25">
      <c r="A52" s="16" t="s">
        <v>44</v>
      </c>
      <c r="B52" s="8"/>
      <c r="C52" s="11"/>
      <c r="E52" s="56" t="s">
        <v>45</v>
      </c>
      <c r="F52" s="11"/>
      <c r="G52" s="16"/>
      <c r="H52" s="8"/>
      <c r="S52" t="s">
        <v>46</v>
      </c>
      <c r="T52">
        <f>130+123</f>
        <v>253</v>
      </c>
    </row>
    <row r="53" spans="1:20" ht="13.2" x14ac:dyDescent="0.25">
      <c r="A53" s="8" t="s">
        <v>47</v>
      </c>
      <c r="C53" s="78">
        <f>IFERROR(ROUND(IF(G35&gt;0,T58-V38,T58-F38),0),0)</f>
        <v>0</v>
      </c>
      <c r="D53" s="58"/>
      <c r="E53" s="165" t="str">
        <f>IF(B33="Ja","PDI incl. uren startende werknemer","Professionalisering en duurzame inzetbaarheid")</f>
        <v>Professionalisering en duurzame inzetbaarheid</v>
      </c>
      <c r="F53" s="165"/>
      <c r="G53" s="166">
        <f>IFERROR(ROUND(IF(A38="",ROUND(LEFT(H28,2)/40*IF(B33="Ja",163,123),0),ROUND(VLOOKUP(B37,$S$52:$T$56,2,FALSE)*LEFT(H28,2)/40,0))-B38-V42,0),0)</f>
        <v>0</v>
      </c>
      <c r="H53" s="8"/>
      <c r="S53" t="s">
        <v>48</v>
      </c>
      <c r="T53">
        <f>340+123</f>
        <v>463</v>
      </c>
    </row>
    <row r="54" spans="1:20" ht="13.2" x14ac:dyDescent="0.25">
      <c r="A54" s="8" t="s">
        <v>49</v>
      </c>
      <c r="B54" s="8"/>
      <c r="C54" s="78">
        <f>IFERROR(ROUND(IF(G35&gt;0,T59-V40,IF(B38&gt;0,T59-G38,T59)),0),0)</f>
        <v>0</v>
      </c>
      <c r="D54" s="57"/>
      <c r="E54" s="165"/>
      <c r="F54" s="165"/>
      <c r="G54" s="166"/>
      <c r="H54" s="62"/>
      <c r="I54" s="62"/>
      <c r="K54" s="61"/>
      <c r="L54" s="61"/>
      <c r="M54" s="61"/>
      <c r="N54" s="61"/>
      <c r="O54" s="61"/>
      <c r="P54" s="62"/>
      <c r="Q54" s="62"/>
      <c r="S54" t="s">
        <v>50</v>
      </c>
      <c r="T54">
        <f>130+123</f>
        <v>253</v>
      </c>
    </row>
    <row r="55" spans="1:20" ht="13.8" thickBot="1" x14ac:dyDescent="0.3">
      <c r="A55" s="8" t="s">
        <v>51</v>
      </c>
      <c r="B55" s="8"/>
      <c r="C55" s="78">
        <f>C47</f>
        <v>0</v>
      </c>
      <c r="D55" s="57"/>
      <c r="E55" s="8" t="str">
        <f>IF(B38&gt;0,"Verlof duurz. inz.",IF(G35&gt;0,"Ouderschapsverlof",""))</f>
        <v/>
      </c>
      <c r="F55" s="8"/>
      <c r="G55" s="59">
        <f>ROUND(IF(E55="",0,IF(B38&gt;0,B38,U37)),0)</f>
        <v>0</v>
      </c>
      <c r="H55" s="62"/>
      <c r="I55" s="62"/>
      <c r="K55" s="61"/>
      <c r="L55" s="61"/>
      <c r="M55" s="61"/>
      <c r="N55" s="61"/>
      <c r="O55" s="61"/>
      <c r="P55" s="62"/>
      <c r="Q55" s="130">
        <f>C103+G56+C56</f>
        <v>0</v>
      </c>
    </row>
    <row r="56" spans="1:20" ht="13.8" thickBot="1" x14ac:dyDescent="0.3">
      <c r="A56" s="11" t="s">
        <v>52</v>
      </c>
      <c r="B56" s="11"/>
      <c r="C56" s="81">
        <f>SUM(C53:C55)</f>
        <v>0</v>
      </c>
      <c r="D56" s="14"/>
      <c r="E56" s="11" t="s">
        <v>21</v>
      </c>
      <c r="F56" s="16"/>
      <c r="G56" s="65">
        <f>SUM(G53:G55)</f>
        <v>0</v>
      </c>
      <c r="H56" s="8"/>
      <c r="S56" t="s">
        <v>53</v>
      </c>
      <c r="T56">
        <v>123</v>
      </c>
    </row>
    <row r="57" spans="1:20" ht="13.2" x14ac:dyDescent="0.25">
      <c r="A57" s="118"/>
      <c r="B57" s="11"/>
      <c r="C57" s="14"/>
      <c r="D57" s="11"/>
      <c r="E57" s="11"/>
      <c r="F57" s="16"/>
      <c r="G57" s="16"/>
      <c r="H57" s="8"/>
    </row>
    <row r="58" spans="1:20" ht="13.2" x14ac:dyDescent="0.25">
      <c r="A58" s="16" t="s">
        <v>54</v>
      </c>
      <c r="C58" s="11"/>
      <c r="D58" s="14"/>
      <c r="E58" s="160" t="str">
        <f>IF(C102&lt;0,"LET OP:","")</f>
        <v/>
      </c>
      <c r="F58" s="160"/>
      <c r="G58" s="160"/>
      <c r="H58" s="160"/>
      <c r="K58" s="161" t="s">
        <v>84</v>
      </c>
      <c r="L58" s="161"/>
      <c r="M58" s="161"/>
      <c r="N58" s="161"/>
      <c r="O58" s="161"/>
      <c r="S58" s="8" t="s">
        <v>47</v>
      </c>
      <c r="T58">
        <f>ROUND(F23*C10+D28-G34,0)</f>
        <v>0</v>
      </c>
    </row>
    <row r="59" spans="1:20" ht="13.2" x14ac:dyDescent="0.25">
      <c r="A59" s="22" t="s">
        <v>60</v>
      </c>
      <c r="B59" s="8"/>
      <c r="C59" s="13"/>
      <c r="D59" s="8"/>
      <c r="E59" s="160"/>
      <c r="F59" s="160"/>
      <c r="G59" s="160"/>
      <c r="H59" s="160"/>
      <c r="K59" s="161"/>
      <c r="L59" s="161"/>
      <c r="M59" s="161"/>
      <c r="N59" s="161"/>
      <c r="O59" s="161"/>
      <c r="S59" s="8" t="s">
        <v>49</v>
      </c>
      <c r="T59">
        <f>ROUND(T58*H10,0)</f>
        <v>0</v>
      </c>
    </row>
    <row r="60" spans="1:20" ht="12.75" customHeight="1" x14ac:dyDescent="0.25">
      <c r="A60" s="22" t="s">
        <v>60</v>
      </c>
      <c r="B60" s="8"/>
      <c r="C60" s="13"/>
      <c r="D60" s="198" t="str">
        <f>IF(C102&lt;0,"De werktijdfactor is te laag om adeze taken te kunnen vervullen. Vul in cel D29 extra uren in of verstrek een extra dagdeel.","")</f>
        <v/>
      </c>
      <c r="E60" s="162"/>
      <c r="F60" s="162"/>
      <c r="G60" s="162"/>
      <c r="H60" s="162"/>
      <c r="K60" s="161"/>
      <c r="L60" s="161"/>
      <c r="M60" s="161"/>
      <c r="N60" s="161"/>
      <c r="O60" s="161"/>
      <c r="S60" s="7" t="s">
        <v>66</v>
      </c>
      <c r="T60">
        <f>ROUND(1659*(LEFT(H28,2)/40)-T59-T58-ROUND(IF(A38="",ROUND(LEFT(H28,2)/40*IF(B33="Ja",163,123),0),ROUND(VLOOKUP(B37,$S$52:$T$56,2,FALSE)*LEFT(H28,2)/40,0))-B38,0)-C47,0)</f>
        <v>0</v>
      </c>
    </row>
    <row r="61" spans="1:20" ht="12.75" customHeight="1" x14ac:dyDescent="0.25">
      <c r="A61" s="22" t="s">
        <v>60</v>
      </c>
      <c r="B61" s="8"/>
      <c r="C61" s="13"/>
      <c r="D61" s="198"/>
      <c r="E61" s="162"/>
      <c r="F61" s="162"/>
      <c r="G61" s="162"/>
      <c r="H61" s="162"/>
      <c r="K61" s="161"/>
      <c r="L61" s="161"/>
      <c r="M61" s="161"/>
      <c r="N61" s="161"/>
      <c r="O61" s="161"/>
    </row>
    <row r="62" spans="1:20" ht="12.75" customHeight="1" x14ac:dyDescent="0.25">
      <c r="A62" s="22" t="s">
        <v>60</v>
      </c>
      <c r="B62" s="8"/>
      <c r="C62" s="13"/>
      <c r="D62" s="121"/>
      <c r="E62" s="15"/>
      <c r="F62" s="15"/>
      <c r="G62" s="15"/>
      <c r="H62" s="15"/>
      <c r="I62" s="15"/>
      <c r="K62" s="161"/>
      <c r="L62" s="161"/>
      <c r="M62" s="161"/>
      <c r="N62" s="161"/>
      <c r="O62" s="161"/>
    </row>
    <row r="63" spans="1:20" ht="13.2" customHeight="1" x14ac:dyDescent="0.25">
      <c r="A63" s="22" t="s">
        <v>60</v>
      </c>
      <c r="B63" s="8"/>
      <c r="C63" s="13"/>
      <c r="D63" s="121"/>
      <c r="E63" s="163" t="s">
        <v>101</v>
      </c>
      <c r="F63" s="163"/>
      <c r="G63" s="163"/>
      <c r="H63" s="163"/>
      <c r="I63" s="15"/>
      <c r="T63">
        <f>ROUND(1659*(LEFT(H28,2)/40)-ROUND(IF(A38="",ROUND(LEFT(H28,2)/40*IF(B33="Ja",163,123),0),ROUND(VLOOKUP(B37,$S$52:$T$56,2,FALSE)*LEFT(H28,2)/40,0))-B38,0),0)</f>
        <v>0</v>
      </c>
    </row>
    <row r="64" spans="1:20" ht="13.2" x14ac:dyDescent="0.25">
      <c r="A64" s="22" t="s">
        <v>60</v>
      </c>
      <c r="B64" s="8"/>
      <c r="C64" s="13"/>
      <c r="D64" s="14"/>
      <c r="E64" s="111" t="s">
        <v>130</v>
      </c>
      <c r="F64" s="202">
        <f>G55</f>
        <v>0</v>
      </c>
      <c r="G64" s="203"/>
      <c r="H64" s="204"/>
      <c r="I64" s="15"/>
      <c r="S64" s="67">
        <f>1659/40*LEFT(H28,2)</f>
        <v>0</v>
      </c>
    </row>
    <row r="65" spans="1:9" ht="12.75" customHeight="1" x14ac:dyDescent="0.25">
      <c r="A65" s="22" t="s">
        <v>60</v>
      </c>
      <c r="B65" s="8"/>
      <c r="C65" s="13"/>
      <c r="D65" s="14"/>
      <c r="E65" s="111" t="s">
        <v>58</v>
      </c>
      <c r="F65" s="195"/>
      <c r="G65" s="196"/>
      <c r="H65" s="197"/>
      <c r="I65" s="15"/>
    </row>
    <row r="66" spans="1:9" ht="13.2" x14ac:dyDescent="0.25">
      <c r="A66" s="22" t="s">
        <v>60</v>
      </c>
      <c r="B66" s="8"/>
      <c r="C66" s="13"/>
      <c r="D66" s="14"/>
      <c r="E66" s="111" t="s">
        <v>62</v>
      </c>
      <c r="F66" s="195"/>
      <c r="G66" s="196"/>
      <c r="H66" s="197"/>
      <c r="I66" s="15"/>
    </row>
    <row r="67" spans="1:9" ht="12.75" customHeight="1" x14ac:dyDescent="0.25">
      <c r="A67" s="22" t="s">
        <v>60</v>
      </c>
      <c r="B67" s="8"/>
      <c r="C67" s="13"/>
      <c r="D67" s="14"/>
      <c r="E67" s="111" t="s">
        <v>61</v>
      </c>
      <c r="F67" s="195"/>
      <c r="G67" s="196"/>
      <c r="H67" s="197"/>
      <c r="I67" s="15"/>
    </row>
    <row r="68" spans="1:9" ht="13.2" x14ac:dyDescent="0.25">
      <c r="A68" s="22" t="s">
        <v>60</v>
      </c>
      <c r="B68" s="8"/>
      <c r="C68" s="13"/>
      <c r="D68" s="14"/>
      <c r="E68" s="112" t="s">
        <v>63</v>
      </c>
      <c r="F68" s="195"/>
      <c r="G68" s="196"/>
      <c r="H68" s="197"/>
      <c r="I68" s="15"/>
    </row>
    <row r="69" spans="1:9" ht="13.2" x14ac:dyDescent="0.25">
      <c r="A69" s="22" t="s">
        <v>60</v>
      </c>
      <c r="B69" s="8"/>
      <c r="C69" s="13"/>
      <c r="D69" s="14"/>
      <c r="E69" s="112" t="s">
        <v>64</v>
      </c>
      <c r="F69" s="195"/>
      <c r="G69" s="196"/>
      <c r="H69" s="197"/>
      <c r="I69" s="15"/>
    </row>
    <row r="70" spans="1:9" ht="13.2" x14ac:dyDescent="0.25">
      <c r="A70" s="22" t="s">
        <v>60</v>
      </c>
      <c r="B70" s="8"/>
      <c r="C70" s="13"/>
      <c r="D70" s="14"/>
      <c r="E70" s="112" t="s">
        <v>60</v>
      </c>
      <c r="F70" s="195"/>
      <c r="G70" s="196"/>
      <c r="H70" s="197"/>
      <c r="I70" s="15"/>
    </row>
    <row r="71" spans="1:9" ht="13.2" hidden="1" x14ac:dyDescent="0.25">
      <c r="A71" s="22" t="s">
        <v>60</v>
      </c>
      <c r="B71" s="8"/>
      <c r="C71" s="13"/>
      <c r="D71" s="14"/>
      <c r="E71" s="112" t="s">
        <v>60</v>
      </c>
      <c r="F71" s="195"/>
      <c r="G71" s="196"/>
      <c r="H71" s="197"/>
      <c r="I71" s="15"/>
    </row>
    <row r="72" spans="1:9" ht="13.2" hidden="1" x14ac:dyDescent="0.25">
      <c r="A72" s="22" t="s">
        <v>60</v>
      </c>
      <c r="B72" s="8"/>
      <c r="C72" s="13"/>
      <c r="D72" s="14"/>
      <c r="E72" s="112" t="s">
        <v>60</v>
      </c>
      <c r="F72" s="195"/>
      <c r="G72" s="196"/>
      <c r="H72" s="197"/>
      <c r="I72" s="15"/>
    </row>
    <row r="73" spans="1:9" ht="13.2" hidden="1" x14ac:dyDescent="0.25">
      <c r="A73" s="22" t="s">
        <v>60</v>
      </c>
      <c r="B73" s="8"/>
      <c r="C73" s="13"/>
      <c r="D73" s="14"/>
      <c r="E73" s="112" t="s">
        <v>60</v>
      </c>
      <c r="F73" s="195"/>
      <c r="G73" s="196"/>
      <c r="H73" s="197"/>
      <c r="I73" s="15"/>
    </row>
    <row r="74" spans="1:9" ht="13.2" hidden="1" x14ac:dyDescent="0.25">
      <c r="A74" s="22" t="s">
        <v>60</v>
      </c>
      <c r="B74" s="8"/>
      <c r="C74" s="13"/>
      <c r="D74" s="14"/>
      <c r="E74" s="112" t="s">
        <v>60</v>
      </c>
      <c r="F74" s="195"/>
      <c r="G74" s="196"/>
      <c r="H74" s="197"/>
      <c r="I74" s="15"/>
    </row>
    <row r="75" spans="1:9" ht="13.2" hidden="1" x14ac:dyDescent="0.25">
      <c r="A75" s="22" t="s">
        <v>60</v>
      </c>
      <c r="B75" s="8"/>
      <c r="C75" s="13"/>
      <c r="D75" s="14"/>
      <c r="E75" s="112" t="s">
        <v>60</v>
      </c>
      <c r="F75" s="195"/>
      <c r="G75" s="196"/>
      <c r="H75" s="197"/>
      <c r="I75" s="15"/>
    </row>
    <row r="76" spans="1:9" ht="13.2" hidden="1" x14ac:dyDescent="0.25">
      <c r="A76" s="22" t="s">
        <v>60</v>
      </c>
      <c r="B76" s="8"/>
      <c r="C76" s="13"/>
      <c r="D76" s="14"/>
      <c r="E76" s="112" t="s">
        <v>60</v>
      </c>
      <c r="F76" s="195"/>
      <c r="G76" s="196"/>
      <c r="H76" s="197"/>
      <c r="I76" s="15"/>
    </row>
    <row r="77" spans="1:9" ht="13.2" hidden="1" x14ac:dyDescent="0.25">
      <c r="A77" s="22" t="s">
        <v>60</v>
      </c>
      <c r="B77" s="8"/>
      <c r="C77" s="13"/>
      <c r="D77" s="14"/>
      <c r="E77" s="112" t="s">
        <v>60</v>
      </c>
      <c r="F77" s="195"/>
      <c r="G77" s="196"/>
      <c r="H77" s="197"/>
      <c r="I77" s="15"/>
    </row>
    <row r="78" spans="1:9" ht="13.2" hidden="1" x14ac:dyDescent="0.25">
      <c r="A78" s="22" t="s">
        <v>60</v>
      </c>
      <c r="B78" s="8"/>
      <c r="C78" s="13"/>
      <c r="D78" s="14"/>
      <c r="E78" s="112" t="s">
        <v>60</v>
      </c>
      <c r="F78" s="195"/>
      <c r="G78" s="196"/>
      <c r="H78" s="197"/>
      <c r="I78" s="15"/>
    </row>
    <row r="79" spans="1:9" ht="13.2" hidden="1" x14ac:dyDescent="0.25">
      <c r="A79" s="22" t="s">
        <v>60</v>
      </c>
      <c r="B79" s="8"/>
      <c r="C79" s="13"/>
      <c r="D79" s="14"/>
      <c r="E79" s="112" t="s">
        <v>60</v>
      </c>
      <c r="F79" s="195"/>
      <c r="G79" s="196"/>
      <c r="H79" s="197"/>
      <c r="I79" s="15"/>
    </row>
    <row r="80" spans="1:9" ht="13.2" hidden="1" x14ac:dyDescent="0.25">
      <c r="A80" s="22" t="s">
        <v>60</v>
      </c>
      <c r="B80" s="8"/>
      <c r="C80" s="13"/>
      <c r="D80" s="14"/>
      <c r="E80" s="112" t="s">
        <v>60</v>
      </c>
      <c r="F80" s="195"/>
      <c r="G80" s="196"/>
      <c r="H80" s="197"/>
      <c r="I80" s="15"/>
    </row>
    <row r="81" spans="1:9" ht="13.2" hidden="1" x14ac:dyDescent="0.25">
      <c r="A81" s="22" t="s">
        <v>60</v>
      </c>
      <c r="B81" s="8"/>
      <c r="C81" s="13"/>
      <c r="D81" s="14"/>
      <c r="E81" s="112" t="s">
        <v>60</v>
      </c>
      <c r="F81" s="195"/>
      <c r="G81" s="196"/>
      <c r="H81" s="197"/>
      <c r="I81" s="15"/>
    </row>
    <row r="82" spans="1:9" ht="13.2" hidden="1" x14ac:dyDescent="0.25">
      <c r="A82" s="22" t="s">
        <v>60</v>
      </c>
      <c r="B82" s="8"/>
      <c r="C82" s="13"/>
      <c r="D82" s="14"/>
      <c r="E82" s="112" t="s">
        <v>60</v>
      </c>
      <c r="F82" s="195"/>
      <c r="G82" s="196"/>
      <c r="H82" s="197"/>
      <c r="I82" s="15"/>
    </row>
    <row r="83" spans="1:9" ht="13.2" hidden="1" x14ac:dyDescent="0.25">
      <c r="A83" s="22" t="s">
        <v>60</v>
      </c>
      <c r="B83" s="8"/>
      <c r="C83" s="13"/>
      <c r="D83" s="14"/>
      <c r="E83" s="112" t="s">
        <v>60</v>
      </c>
      <c r="F83" s="195"/>
      <c r="G83" s="196"/>
      <c r="H83" s="197"/>
      <c r="I83" s="15"/>
    </row>
    <row r="84" spans="1:9" ht="13.2" hidden="1" x14ac:dyDescent="0.25">
      <c r="A84" s="22" t="s">
        <v>60</v>
      </c>
      <c r="B84" s="8"/>
      <c r="C84" s="13"/>
      <c r="D84" s="14"/>
      <c r="E84" s="112" t="s">
        <v>60</v>
      </c>
      <c r="F84" s="195"/>
      <c r="G84" s="196"/>
      <c r="H84" s="197"/>
      <c r="I84" s="15"/>
    </row>
    <row r="85" spans="1:9" ht="13.2" hidden="1" x14ac:dyDescent="0.25">
      <c r="A85" s="22" t="s">
        <v>60</v>
      </c>
      <c r="B85" s="8"/>
      <c r="C85" s="13"/>
      <c r="D85" s="14"/>
      <c r="E85" s="112" t="s">
        <v>60</v>
      </c>
      <c r="F85" s="195"/>
      <c r="G85" s="196"/>
      <c r="H85" s="197"/>
      <c r="I85" s="15"/>
    </row>
    <row r="86" spans="1:9" ht="13.2" hidden="1" x14ac:dyDescent="0.25">
      <c r="A86" s="22" t="s">
        <v>60</v>
      </c>
      <c r="B86" s="8"/>
      <c r="C86" s="13"/>
      <c r="D86" s="14"/>
      <c r="E86" s="112" t="s">
        <v>60</v>
      </c>
      <c r="F86" s="195"/>
      <c r="G86" s="196"/>
      <c r="H86" s="197"/>
      <c r="I86" s="15"/>
    </row>
    <row r="87" spans="1:9" ht="13.2" hidden="1" x14ac:dyDescent="0.25">
      <c r="A87" s="22" t="s">
        <v>60</v>
      </c>
      <c r="B87" s="8"/>
      <c r="C87" s="13"/>
      <c r="D87" s="14"/>
      <c r="E87" s="112" t="s">
        <v>60</v>
      </c>
      <c r="F87" s="195"/>
      <c r="G87" s="196"/>
      <c r="H87" s="197"/>
      <c r="I87" s="15"/>
    </row>
    <row r="88" spans="1:9" ht="13.2" hidden="1" x14ac:dyDescent="0.25">
      <c r="A88" s="22" t="s">
        <v>60</v>
      </c>
      <c r="B88" s="8"/>
      <c r="C88" s="13"/>
      <c r="D88" s="14"/>
      <c r="E88" s="112" t="s">
        <v>60</v>
      </c>
      <c r="F88" s="195"/>
      <c r="G88" s="196"/>
      <c r="H88" s="197"/>
      <c r="I88" s="15"/>
    </row>
    <row r="89" spans="1:9" ht="13.2" hidden="1" x14ac:dyDescent="0.25">
      <c r="A89" s="22" t="s">
        <v>60</v>
      </c>
      <c r="B89" s="8"/>
      <c r="C89" s="13"/>
      <c r="D89" s="14"/>
      <c r="E89" s="112" t="s">
        <v>60</v>
      </c>
      <c r="F89" s="195"/>
      <c r="G89" s="196"/>
      <c r="H89" s="197"/>
      <c r="I89" s="15"/>
    </row>
    <row r="90" spans="1:9" ht="13.2" hidden="1" x14ac:dyDescent="0.25">
      <c r="A90" s="22" t="s">
        <v>60</v>
      </c>
      <c r="B90" s="8"/>
      <c r="C90" s="13"/>
      <c r="D90" s="14"/>
      <c r="E90" s="112" t="s">
        <v>60</v>
      </c>
      <c r="F90" s="195"/>
      <c r="G90" s="196"/>
      <c r="H90" s="197"/>
      <c r="I90" s="15"/>
    </row>
    <row r="91" spans="1:9" ht="13.2" hidden="1" x14ac:dyDescent="0.25">
      <c r="A91" s="22" t="s">
        <v>60</v>
      </c>
      <c r="B91" s="8"/>
      <c r="C91" s="13"/>
      <c r="D91" s="14"/>
      <c r="E91" s="112" t="s">
        <v>60</v>
      </c>
      <c r="F91" s="195"/>
      <c r="G91" s="196"/>
      <c r="H91" s="197"/>
      <c r="I91" s="15"/>
    </row>
    <row r="92" spans="1:9" ht="13.2" hidden="1" x14ac:dyDescent="0.25">
      <c r="A92" s="22" t="s">
        <v>60</v>
      </c>
      <c r="B92" s="8"/>
      <c r="C92" s="13"/>
      <c r="D92" s="14"/>
      <c r="E92" s="112" t="s">
        <v>60</v>
      </c>
      <c r="F92" s="195"/>
      <c r="G92" s="196"/>
      <c r="H92" s="197"/>
      <c r="I92" s="15"/>
    </row>
    <row r="93" spans="1:9" ht="13.2" hidden="1" x14ac:dyDescent="0.25">
      <c r="A93" s="22" t="s">
        <v>60</v>
      </c>
      <c r="B93" s="8"/>
      <c r="C93" s="13"/>
      <c r="D93" s="14"/>
      <c r="E93" s="112" t="s">
        <v>60</v>
      </c>
      <c r="F93" s="195"/>
      <c r="G93" s="196"/>
      <c r="H93" s="197"/>
      <c r="I93" s="15"/>
    </row>
    <row r="94" spans="1:9" ht="13.2" hidden="1" x14ac:dyDescent="0.25">
      <c r="A94" s="22" t="s">
        <v>60</v>
      </c>
      <c r="B94" s="8"/>
      <c r="C94" s="13"/>
      <c r="D94" s="14"/>
      <c r="E94" s="112" t="s">
        <v>60</v>
      </c>
      <c r="F94" s="195"/>
      <c r="G94" s="196"/>
      <c r="H94" s="197"/>
      <c r="I94" s="15"/>
    </row>
    <row r="95" spans="1:9" ht="13.2" hidden="1" x14ac:dyDescent="0.25">
      <c r="A95" s="22" t="s">
        <v>60</v>
      </c>
      <c r="B95" s="8"/>
      <c r="C95" s="13"/>
      <c r="D95" s="14"/>
      <c r="E95" s="112" t="s">
        <v>60</v>
      </c>
      <c r="F95" s="195"/>
      <c r="G95" s="196"/>
      <c r="H95" s="197"/>
      <c r="I95" s="15"/>
    </row>
    <row r="96" spans="1:9" ht="13.2" hidden="1" x14ac:dyDescent="0.25">
      <c r="A96" s="22" t="s">
        <v>60</v>
      </c>
      <c r="B96" s="8"/>
      <c r="C96" s="13"/>
      <c r="D96" s="14"/>
      <c r="E96" s="112" t="s">
        <v>60</v>
      </c>
      <c r="F96" s="195"/>
      <c r="G96" s="196"/>
      <c r="H96" s="197"/>
      <c r="I96" s="15"/>
    </row>
    <row r="97" spans="1:15" ht="13.2" hidden="1" x14ac:dyDescent="0.25">
      <c r="A97" s="22" t="s">
        <v>60</v>
      </c>
      <c r="B97" s="8"/>
      <c r="C97" s="13"/>
      <c r="D97" s="14"/>
      <c r="E97" s="112" t="s">
        <v>60</v>
      </c>
      <c r="F97" s="195"/>
      <c r="G97" s="196"/>
      <c r="H97" s="197"/>
      <c r="I97" s="15"/>
    </row>
    <row r="98" spans="1:15" ht="13.2" hidden="1" x14ac:dyDescent="0.25">
      <c r="A98" s="22" t="s">
        <v>60</v>
      </c>
      <c r="B98" s="8"/>
      <c r="C98" s="13"/>
      <c r="D98" s="14"/>
      <c r="E98" s="112" t="s">
        <v>60</v>
      </c>
      <c r="F98" s="195"/>
      <c r="G98" s="196"/>
      <c r="H98" s="197"/>
      <c r="I98" s="15"/>
    </row>
    <row r="99" spans="1:15" ht="13.2" hidden="1" x14ac:dyDescent="0.25">
      <c r="A99" s="22" t="s">
        <v>60</v>
      </c>
      <c r="B99" s="8"/>
      <c r="C99" s="13"/>
      <c r="D99" s="14"/>
      <c r="E99" s="112" t="s">
        <v>60</v>
      </c>
      <c r="F99" s="195"/>
      <c r="G99" s="196"/>
      <c r="H99" s="197"/>
      <c r="I99" s="15"/>
    </row>
    <row r="100" spans="1:15" ht="13.8" thickBot="1" x14ac:dyDescent="0.3">
      <c r="A100" s="6" t="s">
        <v>60</v>
      </c>
      <c r="B100" s="8"/>
      <c r="C100" s="13"/>
      <c r="D100" s="8"/>
      <c r="E100" s="113" t="s">
        <v>67</v>
      </c>
      <c r="F100" s="180">
        <f>G56-SUM(F64:H99)</f>
        <v>0</v>
      </c>
      <c r="G100" s="180"/>
      <c r="H100" s="180"/>
      <c r="I100" s="15"/>
    </row>
    <row r="101" spans="1:15" ht="13.8" thickBot="1" x14ac:dyDescent="0.3">
      <c r="A101" s="6" t="s">
        <v>65</v>
      </c>
      <c r="B101" s="8"/>
      <c r="C101" s="13"/>
      <c r="D101" s="8"/>
      <c r="E101" s="121" t="s">
        <v>21</v>
      </c>
      <c r="F101" s="177">
        <f>SUM(F64:H100)</f>
        <v>0</v>
      </c>
      <c r="G101" s="178"/>
      <c r="H101" s="179"/>
    </row>
    <row r="102" spans="1:15" ht="13.8" thickBot="1" x14ac:dyDescent="0.3">
      <c r="A102" s="8" t="s">
        <v>66</v>
      </c>
      <c r="B102" s="8"/>
      <c r="C102" s="9">
        <f>IFERROR(IF(G35&gt;0,ROUND(T60-SUM(C59:C101)-V43,0),ROUND(T60-H38-SUM(C59:C101),0)),0)</f>
        <v>0</v>
      </c>
      <c r="D102" s="8"/>
      <c r="E102" s="8"/>
      <c r="F102" s="8"/>
      <c r="G102" s="8"/>
      <c r="H102" s="8"/>
    </row>
    <row r="103" spans="1:15" ht="13.8" thickBot="1" x14ac:dyDescent="0.3">
      <c r="A103" s="11" t="s">
        <v>68</v>
      </c>
      <c r="B103" s="8"/>
      <c r="C103" s="12">
        <f>SUM(C59:C102)</f>
        <v>0</v>
      </c>
      <c r="D103" s="8"/>
      <c r="E103" s="8"/>
      <c r="F103" s="8"/>
      <c r="G103" s="8"/>
      <c r="H103" s="8"/>
    </row>
    <row r="104" spans="1:15" s="8" customFormat="1" ht="13.2" x14ac:dyDescent="0.25">
      <c r="J104" s="19"/>
      <c r="K104" s="19"/>
      <c r="L104" s="19"/>
      <c r="M104" s="19"/>
      <c r="N104" s="19"/>
      <c r="O104" s="19"/>
    </row>
    <row r="105" spans="1:15" ht="13.2" hidden="1" x14ac:dyDescent="0.25"/>
    <row r="106" spans="1:15" ht="13.2" hidden="1" x14ac:dyDescent="0.25"/>
    <row r="107" spans="1:15" ht="13.2" hidden="1" x14ac:dyDescent="0.25"/>
    <row r="108" spans="1:15" ht="13.2" hidden="1" x14ac:dyDescent="0.25"/>
    <row r="109" spans="1:15" ht="13.2" hidden="1" x14ac:dyDescent="0.25"/>
    <row r="110" spans="1:15" ht="13.2" hidden="1" x14ac:dyDescent="0.25"/>
    <row r="111" spans="1:15" ht="13.2" hidden="1" x14ac:dyDescent="0.25"/>
  </sheetData>
  <sheetProtection algorithmName="SHA-512" hashValue="+HXmgiaOUiM+QltPXQYsWHl5pK011MlVgzsELrpJrbxaaYD0LlF506CWJXMoE5iHEoCatwt6XSjDmY3KRwQNyg==" saltValue="+u6AzHgW0sYRI0WlOyVJgQ==" spinCount="100000" sheet="1" objects="1" scenarios="1" formatColumns="0" formatRows="0" insertColumns="0" insertRows="0" selectLockedCells="1"/>
  <mergeCells count="79">
    <mergeCell ref="F99:H99"/>
    <mergeCell ref="F64:H64"/>
    <mergeCell ref="F100:H100"/>
    <mergeCell ref="F101:H101"/>
    <mergeCell ref="F94:H94"/>
    <mergeCell ref="F95:H95"/>
    <mergeCell ref="F96:H96"/>
    <mergeCell ref="F97:H97"/>
    <mergeCell ref="F98:H98"/>
    <mergeCell ref="F89:H89"/>
    <mergeCell ref="F90:H90"/>
    <mergeCell ref="F91:H91"/>
    <mergeCell ref="F92:H92"/>
    <mergeCell ref="F93:H93"/>
    <mergeCell ref="F84:H84"/>
    <mergeCell ref="F85:H85"/>
    <mergeCell ref="F86:H86"/>
    <mergeCell ref="F87:H87"/>
    <mergeCell ref="F88:H88"/>
    <mergeCell ref="F79:H79"/>
    <mergeCell ref="F80:H80"/>
    <mergeCell ref="F81:H81"/>
    <mergeCell ref="F82:H82"/>
    <mergeCell ref="F83:H83"/>
    <mergeCell ref="B33:C33"/>
    <mergeCell ref="F65:H65"/>
    <mergeCell ref="F66:H66"/>
    <mergeCell ref="F67:H67"/>
    <mergeCell ref="F68:H68"/>
    <mergeCell ref="D60:H61"/>
    <mergeCell ref="E63:H63"/>
    <mergeCell ref="A39:C39"/>
    <mergeCell ref="B37:C37"/>
    <mergeCell ref="B34:C34"/>
    <mergeCell ref="B35:C35"/>
    <mergeCell ref="B36:C36"/>
    <mergeCell ref="E53:F54"/>
    <mergeCell ref="G53:G54"/>
    <mergeCell ref="F69:H69"/>
    <mergeCell ref="F70:H70"/>
    <mergeCell ref="F71:H71"/>
    <mergeCell ref="F72:H72"/>
    <mergeCell ref="F73:H73"/>
    <mergeCell ref="F74:H74"/>
    <mergeCell ref="F75:H75"/>
    <mergeCell ref="F76:H76"/>
    <mergeCell ref="F77:H77"/>
    <mergeCell ref="F78:H78"/>
    <mergeCell ref="C2:D2"/>
    <mergeCell ref="K58:O62"/>
    <mergeCell ref="E58:H59"/>
    <mergeCell ref="K31:O32"/>
    <mergeCell ref="K42:O45"/>
    <mergeCell ref="K36:O40"/>
    <mergeCell ref="E36:H36"/>
    <mergeCell ref="H6:I6"/>
    <mergeCell ref="H5:I5"/>
    <mergeCell ref="K28:O30"/>
    <mergeCell ref="K12:O15"/>
    <mergeCell ref="C23:D23"/>
    <mergeCell ref="B15:D15"/>
    <mergeCell ref="K16:O26"/>
    <mergeCell ref="H25:H26"/>
    <mergeCell ref="B5:D5"/>
    <mergeCell ref="F5:G5"/>
    <mergeCell ref="C16:D16"/>
    <mergeCell ref="B16:B17"/>
    <mergeCell ref="F15:H15"/>
    <mergeCell ref="F16:F17"/>
    <mergeCell ref="G16:H16"/>
    <mergeCell ref="B6:D6"/>
    <mergeCell ref="F6:G6"/>
    <mergeCell ref="C24:E24"/>
    <mergeCell ref="B7:D7"/>
    <mergeCell ref="F28:G29"/>
    <mergeCell ref="H28:H29"/>
    <mergeCell ref="F25:G26"/>
    <mergeCell ref="G23:H23"/>
    <mergeCell ref="B8:I8"/>
  </mergeCells>
  <conditionalFormatting sqref="A38:H38">
    <cfRule type="cellIs" dxfId="110" priority="7" operator="equal">
      <formula>$D$38&lt;&gt;"Lesuren"</formula>
    </cfRule>
  </conditionalFormatting>
  <conditionalFormatting sqref="B38">
    <cfRule type="cellIs" dxfId="65" priority="27" operator="equal">
      <formula>$A$38&lt;&gt;"Aantal uur verlof"</formula>
    </cfRule>
    <cfRule type="cellIs" dxfId="66" priority="28" operator="equal">
      <formula>""""""</formula>
    </cfRule>
    <cfRule type="cellIs" dxfId="67" priority="29" operator="between">
      <formula>1</formula>
      <formula>500</formula>
    </cfRule>
    <cfRule type="expression" dxfId="64" priority="1">
      <formula>$A$38&lt;&gt;""</formula>
    </cfRule>
  </conditionalFormatting>
  <conditionalFormatting sqref="B37:C37">
    <cfRule type="containsText" dxfId="69" priority="30" operator="containsText" text="e">
      <formula>NOT(ISERROR(SEARCH("e",B37)))</formula>
    </cfRule>
    <cfRule type="cellIs" dxfId="70" priority="31" operator="equal">
      <formula>$A$37&lt;&gt;"Recht duurzame inzetbaarheid"</formula>
    </cfRule>
    <cfRule type="expression" dxfId="68" priority="2">
      <formula>$A$37&lt;&gt;""</formula>
    </cfRule>
  </conditionalFormatting>
  <conditionalFormatting sqref="B37:H37">
    <cfRule type="cellIs" dxfId="109" priority="6" operator="equal">
      <formula>$D$38&lt;&gt;"Lesuren"</formula>
    </cfRule>
  </conditionalFormatting>
  <conditionalFormatting sqref="C53:C55">
    <cfRule type="cellIs" dxfId="108" priority="16" operator="equal">
      <formula>$D$53&lt;&gt;"Niet toegestaan"</formula>
    </cfRule>
  </conditionalFormatting>
  <conditionalFormatting sqref="F38">
    <cfRule type="cellIs" dxfId="107" priority="26" operator="equal">
      <formula>$F$37&lt;&gt;"Lesuren"</formula>
    </cfRule>
  </conditionalFormatting>
  <conditionalFormatting sqref="F100">
    <cfRule type="cellIs" dxfId="106" priority="3" operator="lessThan">
      <formula>0</formula>
    </cfRule>
  </conditionalFormatting>
  <conditionalFormatting sqref="F38:H38">
    <cfRule type="cellIs" dxfId="105" priority="21" operator="greaterThan">
      <formula>0</formula>
    </cfRule>
  </conditionalFormatting>
  <conditionalFormatting sqref="G34">
    <cfRule type="cellIs" dxfId="104" priority="65" operator="equal">
      <formula>$B$34&lt;&gt;"Ja"</formula>
    </cfRule>
    <cfRule type="cellIs" dxfId="103" priority="66" operator="between">
      <formula>1</formula>
      <formula>1300</formula>
    </cfRule>
  </conditionalFormatting>
  <conditionalFormatting sqref="G35">
    <cfRule type="cellIs" dxfId="102" priority="67" operator="equal">
      <formula>$B$35&lt;&gt;"Ja"</formula>
    </cfRule>
    <cfRule type="cellIs" dxfId="101" priority="68" operator="between">
      <formula>0.0001</formula>
      <formula>2</formula>
    </cfRule>
  </conditionalFormatting>
  <conditionalFormatting sqref="G38">
    <cfRule type="cellIs" dxfId="100" priority="25" operator="equal">
      <formula>$G$37&lt;&gt;"v/n-werk"</formula>
    </cfRule>
  </conditionalFormatting>
  <conditionalFormatting sqref="G39">
    <cfRule type="containsText" dxfId="99" priority="8" operator="containsText" text="Taakuren">
      <formula>NOT(ISERROR(SEARCH("Taakuren",G39)))</formula>
    </cfRule>
  </conditionalFormatting>
  <conditionalFormatting sqref="G40">
    <cfRule type="containsText" dxfId="98" priority="9" operator="containsText" text="Duurz. Inz.">
      <formula>NOT(ISERROR(SEARCH("Duurz. Inz.",G40)))</formula>
    </cfRule>
  </conditionalFormatting>
  <conditionalFormatting sqref="H24">
    <cfRule type="containsText" dxfId="97" priority="14" operator="containsText" text="u">
      <formula>NOT(ISERROR(SEARCH("u",#REF!)))</formula>
    </cfRule>
  </conditionalFormatting>
  <conditionalFormatting sqref="H25:H26">
    <cfRule type="containsText" dxfId="96" priority="69" operator="containsText" text="u">
      <formula>NOT(ISERROR(SEARCH("u",H25)))</formula>
    </cfRule>
    <cfRule type="cellIs" dxfId="95" priority="70" operator="equal">
      <formula>$E$34&lt;&gt;"Lesuren"</formula>
    </cfRule>
  </conditionalFormatting>
  <conditionalFormatting sqref="H38">
    <cfRule type="cellIs" dxfId="94" priority="24" operator="equal">
      <formula>$H$37&lt;&gt;"Taakuren"</formula>
    </cfRule>
  </conditionalFormatting>
  <dataValidations count="8">
    <dataValidation type="list" allowBlank="1" showInputMessage="1" showErrorMessage="1" sqref="B37:C37" xr:uid="{00000000-0002-0000-0100-000000000000}">
      <formula1>$T$27:$T$29</formula1>
    </dataValidation>
    <dataValidation type="whole" errorStyle="warning" operator="equal" allowBlank="1" showInputMessage="1" showErrorMessage="1" errorTitle="Let op:" error="Aantal uren wijkt af van het bepaalde schoolrooster" sqref="I18:I22" xr:uid="{00000000-0002-0000-0100-000001000000}">
      <formula1>E18</formula1>
    </dataValidation>
    <dataValidation type="whole" allowBlank="1" showInputMessage="1" showErrorMessage="1" errorTitle="Ongeldige invoer" error="Het ingevulde aantal uur verlof overstijgt het totaal aantal lesuren. Kies voor een lager aantal uur verlof." sqref="F38:F39" xr:uid="{00000000-0002-0000-0100-000002000000}">
      <formula1>0</formula1>
      <formula2>T58</formula2>
    </dataValidation>
    <dataValidation type="whole" allowBlank="1" showInputMessage="1" showErrorMessage="1" errorTitle="Ongeldige invoer" error="Het aantal ingevulde uren verlof overstijgt het totaal aantal uren voor- en nawerk. Kies voor een lager aantal uur verlof." sqref="G38" xr:uid="{00000000-0002-0000-0100-000003000000}">
      <formula1>0</formula1>
      <formula2>T59</formula2>
    </dataValidation>
    <dataValidation type="whole" allowBlank="1" showInputMessage="1" showErrorMessage="1" errorTitle="Ongeldige invoer" error="Het ingevulde aantal uur verlof overstijgt het beschikbare aantal taakuren. Kies voor een lager aantal uren verlof." sqref="H38:H39" xr:uid="{00000000-0002-0000-0100-000004000000}">
      <formula1>0</formula1>
      <formula2>T60</formula2>
    </dataValidation>
    <dataValidation type="list" allowBlank="1" showInputMessage="1" showErrorMessage="1" sqref="B34:B35 B33:C33" xr:uid="{00000000-0002-0000-0100-000005000000}">
      <formula1>"Ja,Nee"</formula1>
    </dataValidation>
    <dataValidation allowBlank="1" showInputMessage="1" showErrorMessage="1" errorTitle="Ongeldige invoer" error="Het aantal ingevulde uren verlof overstijgt het totaal aantal uren voor- en nawerk. Kies voor een lager aantal uur verlof." sqref="G39" xr:uid="{00000000-0002-0000-0100-000007000000}"/>
    <dataValidation type="whole" allowBlank="1" showInputMessage="1" showErrorMessage="1" errorTitle="Foutieve invoer" error="Het aantal uur verlof past niet binnen uw budget" sqref="B38" xr:uid="{00000000-0002-0000-0100-000006000000}">
      <formula1>0</formula1>
      <formula2>IF(B37="Overgangsregeling 56+",ROUND(340*LEFT(H28,2)/40,0),IF(B37="Overgangsregeling 52+",ROUND(170*LEFT(H28,2)/40,0),IF(B37="Basis en bijzonder budget",ROUND(170*LEFT(H28,2)/40,0),"")))</formula2>
    </dataValidation>
  </dataValidation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BC43E-ABF1-4CD9-B280-805D1B10693F}">
  <dimension ref="A1:V111"/>
  <sheetViews>
    <sheetView zoomScaleNormal="100" workbookViewId="0">
      <selection activeCell="B36" sqref="B36:C36"/>
    </sheetView>
  </sheetViews>
  <sheetFormatPr defaultColWidth="0" defaultRowHeight="12.75" customHeight="1" zeroHeight="1" x14ac:dyDescent="0.25"/>
  <cols>
    <col min="1" max="1" width="27" customWidth="1"/>
    <col min="2" max="4" width="11.33203125" customWidth="1"/>
    <col min="5" max="5" width="7.5546875" customWidth="1"/>
    <col min="6" max="7" width="14.33203125" customWidth="1"/>
    <col min="8" max="8" width="14.44140625" customWidth="1"/>
    <col min="9" max="9" width="1.44140625" style="8" customWidth="1"/>
    <col min="10" max="10" width="2" style="19" customWidth="1"/>
    <col min="11" max="15" width="13.6640625" style="19" customWidth="1"/>
    <col min="16" max="17" width="13.6640625" style="8" hidden="1" customWidth="1"/>
    <col min="18" max="18" width="10.33203125" hidden="1" customWidth="1"/>
    <col min="19" max="19" width="9.44140625" hidden="1" customWidth="1"/>
    <col min="20" max="20" width="10.109375" hidden="1" customWidth="1"/>
    <col min="21" max="16384" width="9.33203125" hidden="1"/>
  </cols>
  <sheetData>
    <row r="1" spans="1:21" ht="12.75" customHeight="1" x14ac:dyDescent="0.25">
      <c r="A1" s="84" t="str">
        <f>'wtf OP, obv lesuren'!A1</f>
        <v>Versie mei 2026</v>
      </c>
      <c r="B1" s="8"/>
      <c r="C1" s="8"/>
      <c r="D1" s="8"/>
      <c r="E1" s="8"/>
      <c r="F1" s="8"/>
      <c r="G1" s="8"/>
      <c r="H1" s="8"/>
    </row>
    <row r="2" spans="1:21" ht="17.399999999999999" x14ac:dyDescent="0.3">
      <c r="A2" s="79" t="s">
        <v>69</v>
      </c>
      <c r="B2" s="8"/>
      <c r="C2" s="151" t="str">
        <f>'wtf OP, obv lesuren'!D2</f>
        <v>2026-2027</v>
      </c>
      <c r="D2" s="152"/>
      <c r="E2" s="8"/>
      <c r="F2" s="8"/>
      <c r="G2" s="8"/>
      <c r="H2" s="8"/>
      <c r="U2" s="24"/>
    </row>
    <row r="3" spans="1:21" ht="13.2" x14ac:dyDescent="0.25">
      <c r="A3" s="8"/>
      <c r="B3" s="8"/>
      <c r="C3" s="8"/>
      <c r="D3" s="8"/>
      <c r="E3" s="8"/>
      <c r="F3" s="8"/>
      <c r="G3" s="8"/>
      <c r="H3" s="8"/>
    </row>
    <row r="4" spans="1:21" ht="13.2" x14ac:dyDescent="0.25">
      <c r="A4" s="25" t="s">
        <v>1</v>
      </c>
      <c r="B4" s="8"/>
      <c r="C4" s="8"/>
      <c r="D4" s="8"/>
      <c r="E4" s="25" t="s">
        <v>2</v>
      </c>
      <c r="F4" s="8"/>
      <c r="G4" s="8"/>
    </row>
    <row r="5" spans="1:21" ht="13.2" x14ac:dyDescent="0.25">
      <c r="A5" s="8" t="s">
        <v>3</v>
      </c>
      <c r="B5" s="153"/>
      <c r="C5" s="153"/>
      <c r="D5" s="153"/>
      <c r="E5" s="8" t="s">
        <v>4</v>
      </c>
      <c r="F5" s="153"/>
      <c r="G5" s="153"/>
      <c r="H5" s="153"/>
      <c r="I5" s="153"/>
    </row>
    <row r="6" spans="1:21" ht="13.2" x14ac:dyDescent="0.25">
      <c r="A6" s="8" t="s">
        <v>5</v>
      </c>
      <c r="B6" s="153"/>
      <c r="C6" s="153"/>
      <c r="D6" s="153"/>
      <c r="E6" s="8" t="s">
        <v>6</v>
      </c>
      <c r="F6" s="153"/>
      <c r="G6" s="153"/>
      <c r="H6" s="153"/>
      <c r="I6" s="153"/>
    </row>
    <row r="7" spans="1:21" ht="13.2" x14ac:dyDescent="0.25">
      <c r="A7" s="8" t="s">
        <v>7</v>
      </c>
      <c r="B7" s="154"/>
      <c r="C7" s="153"/>
      <c r="D7" s="153"/>
      <c r="E7" s="8"/>
      <c r="F7" s="8"/>
      <c r="G7" s="8"/>
      <c r="H7" s="8"/>
      <c r="U7" s="11"/>
    </row>
    <row r="8" spans="1:21" ht="13.2" x14ac:dyDescent="0.25">
      <c r="A8" s="8" t="s">
        <v>70</v>
      </c>
      <c r="B8" s="186"/>
      <c r="C8" s="186"/>
      <c r="D8" s="186"/>
      <c r="E8" s="186"/>
      <c r="F8" s="186"/>
      <c r="G8" s="186"/>
      <c r="H8" s="186"/>
      <c r="I8" s="186"/>
      <c r="U8" s="11"/>
    </row>
    <row r="9" spans="1:21" ht="13.2" x14ac:dyDescent="0.25">
      <c r="A9" s="8"/>
      <c r="B9" s="26"/>
      <c r="C9" s="8"/>
      <c r="D9" s="8"/>
      <c r="E9" s="8"/>
      <c r="F9" s="8"/>
      <c r="G9" s="8"/>
      <c r="H9" s="32" t="e">
        <f>40/(940/C10)</f>
        <v>#DIV/0!</v>
      </c>
      <c r="U9" s="11"/>
    </row>
    <row r="10" spans="1:21" ht="13.2" x14ac:dyDescent="0.25">
      <c r="A10" s="8" t="s">
        <v>8</v>
      </c>
      <c r="B10" s="11"/>
      <c r="C10" s="4"/>
      <c r="E10" s="8" t="s">
        <v>9</v>
      </c>
      <c r="F10" s="8"/>
      <c r="H10" s="116"/>
      <c r="U10" s="11"/>
    </row>
    <row r="11" spans="1:21" ht="13.8" thickBot="1" x14ac:dyDescent="0.3">
      <c r="A11" s="27"/>
      <c r="B11" s="27"/>
      <c r="C11" s="27"/>
      <c r="D11" s="27"/>
      <c r="E11" s="27"/>
      <c r="F11" s="27"/>
      <c r="G11" s="27"/>
      <c r="H11" s="27"/>
      <c r="I11" s="27"/>
      <c r="J11" s="28"/>
      <c r="K11" s="71" t="s">
        <v>10</v>
      </c>
      <c r="L11" s="28"/>
      <c r="M11" s="28"/>
      <c r="N11" s="28"/>
      <c r="O11" s="28"/>
    </row>
    <row r="12" spans="1:21" ht="13.2" x14ac:dyDescent="0.25">
      <c r="A12" s="8"/>
      <c r="B12" s="8"/>
      <c r="C12" s="8"/>
      <c r="D12" s="8"/>
      <c r="E12" s="8"/>
      <c r="F12" s="8"/>
      <c r="G12" s="8"/>
      <c r="H12" s="8"/>
      <c r="K12" s="155" t="s">
        <v>71</v>
      </c>
      <c r="L12" s="155"/>
      <c r="M12" s="155"/>
      <c r="N12" s="155"/>
      <c r="O12" s="155"/>
      <c r="P12" s="29"/>
      <c r="Q12" s="29"/>
    </row>
    <row r="13" spans="1:21" ht="14.25" customHeight="1" x14ac:dyDescent="0.25">
      <c r="A13" s="72" t="s">
        <v>72</v>
      </c>
      <c r="B13" s="73"/>
      <c r="C13" s="8"/>
      <c r="D13" s="8"/>
      <c r="E13" s="8"/>
      <c r="F13" s="8"/>
      <c r="G13" s="8"/>
      <c r="I13" s="32"/>
      <c r="K13" s="147"/>
      <c r="L13" s="147"/>
      <c r="M13" s="147"/>
      <c r="N13" s="147"/>
      <c r="O13" s="147"/>
      <c r="P13" s="29"/>
      <c r="Q13" s="29"/>
    </row>
    <row r="14" spans="1:21" ht="14.25" customHeight="1" x14ac:dyDescent="0.25">
      <c r="A14" s="72"/>
      <c r="B14" s="73"/>
      <c r="C14" s="8"/>
      <c r="D14" s="8"/>
      <c r="E14" s="8"/>
      <c r="F14" s="8"/>
      <c r="G14" s="8"/>
      <c r="H14" s="32"/>
      <c r="I14" s="32"/>
      <c r="K14" s="147"/>
      <c r="L14" s="147"/>
      <c r="M14" s="147"/>
      <c r="N14" s="147"/>
      <c r="O14" s="147"/>
      <c r="P14" s="29"/>
      <c r="Q14" s="29"/>
    </row>
    <row r="15" spans="1:21" ht="13.2" x14ac:dyDescent="0.25">
      <c r="A15" s="11"/>
      <c r="B15" s="190" t="s">
        <v>73</v>
      </c>
      <c r="C15" s="190"/>
      <c r="D15" s="190"/>
      <c r="E15" s="8"/>
      <c r="F15" s="190" t="s">
        <v>74</v>
      </c>
      <c r="G15" s="190"/>
      <c r="H15" s="190"/>
      <c r="I15" s="122"/>
      <c r="K15" s="147"/>
      <c r="L15" s="147"/>
      <c r="M15" s="147"/>
      <c r="N15" s="147"/>
      <c r="O15" s="147"/>
      <c r="P15" s="29"/>
      <c r="Q15" s="29"/>
    </row>
    <row r="16" spans="1:21" ht="12.75" customHeight="1" x14ac:dyDescent="0.25">
      <c r="A16" s="30"/>
      <c r="B16" s="188" t="s">
        <v>75</v>
      </c>
      <c r="C16" s="187" t="s">
        <v>76</v>
      </c>
      <c r="D16" s="187"/>
      <c r="E16" s="74"/>
      <c r="F16" s="188" t="s">
        <v>75</v>
      </c>
      <c r="G16" s="187" t="s">
        <v>76</v>
      </c>
      <c r="H16" s="187"/>
      <c r="I16" s="123"/>
      <c r="K16" s="194" t="s">
        <v>77</v>
      </c>
      <c r="L16" s="194"/>
      <c r="M16" s="194"/>
      <c r="N16" s="194"/>
      <c r="O16" s="194"/>
      <c r="P16" s="29"/>
      <c r="Q16" s="29"/>
    </row>
    <row r="17" spans="1:20" ht="12.75" customHeight="1" x14ac:dyDescent="0.25">
      <c r="A17" s="30"/>
      <c r="B17" s="189"/>
      <c r="C17" s="31" t="s">
        <v>78</v>
      </c>
      <c r="D17" s="74" t="s">
        <v>79</v>
      </c>
      <c r="E17" s="74"/>
      <c r="F17" s="189"/>
      <c r="G17" s="31" t="s">
        <v>78</v>
      </c>
      <c r="H17" s="74" t="s">
        <v>79</v>
      </c>
      <c r="I17" s="74"/>
      <c r="K17" s="194"/>
      <c r="L17" s="194"/>
      <c r="M17" s="194"/>
      <c r="N17" s="194"/>
      <c r="O17" s="194"/>
      <c r="P17" s="29"/>
      <c r="Q17" s="29"/>
    </row>
    <row r="18" spans="1:20" ht="12.75" customHeight="1" x14ac:dyDescent="0.25">
      <c r="A18" s="95" t="s">
        <v>15</v>
      </c>
      <c r="B18" s="1"/>
      <c r="C18" s="21"/>
      <c r="D18" s="21"/>
      <c r="E18" s="34"/>
      <c r="F18" s="1"/>
      <c r="G18" s="21"/>
      <c r="H18" s="21"/>
      <c r="I18" s="34"/>
      <c r="K18" s="194"/>
      <c r="L18" s="194"/>
      <c r="M18" s="194"/>
      <c r="N18" s="194"/>
      <c r="O18" s="194"/>
      <c r="P18" s="29"/>
      <c r="Q18" s="29"/>
      <c r="R18" t="e">
        <f>-G34/C10</f>
        <v>#DIV/0!</v>
      </c>
    </row>
    <row r="19" spans="1:20" ht="13.2" x14ac:dyDescent="0.25">
      <c r="A19" s="95" t="s">
        <v>16</v>
      </c>
      <c r="B19" s="1"/>
      <c r="C19" s="21"/>
      <c r="D19" s="21"/>
      <c r="E19" s="34"/>
      <c r="F19" s="1"/>
      <c r="G19" s="21"/>
      <c r="H19" s="21"/>
      <c r="I19" s="34"/>
      <c r="K19" s="194"/>
      <c r="L19" s="194"/>
      <c r="M19" s="194"/>
      <c r="N19" s="194"/>
      <c r="O19" s="194"/>
      <c r="P19" s="29"/>
      <c r="Q19" s="29"/>
    </row>
    <row r="20" spans="1:20" ht="12.75" customHeight="1" x14ac:dyDescent="0.25">
      <c r="A20" s="95" t="s">
        <v>17</v>
      </c>
      <c r="B20" s="1"/>
      <c r="C20" s="21"/>
      <c r="D20" s="21"/>
      <c r="E20" s="34"/>
      <c r="F20" s="1"/>
      <c r="G20" s="21"/>
      <c r="H20" s="21"/>
      <c r="I20" s="34"/>
      <c r="K20" s="194"/>
      <c r="L20" s="194"/>
      <c r="M20" s="194"/>
      <c r="N20" s="194"/>
      <c r="O20" s="194"/>
      <c r="P20" s="29"/>
      <c r="Q20" s="29"/>
    </row>
    <row r="21" spans="1:20" ht="12.75" customHeight="1" x14ac:dyDescent="0.25">
      <c r="A21" s="95" t="s">
        <v>19</v>
      </c>
      <c r="B21" s="1"/>
      <c r="C21" s="21"/>
      <c r="D21" s="21"/>
      <c r="E21" s="34"/>
      <c r="F21" s="1"/>
      <c r="G21" s="21"/>
      <c r="H21" s="21"/>
      <c r="I21" s="34"/>
      <c r="K21" s="194"/>
      <c r="L21" s="194"/>
      <c r="M21" s="194"/>
      <c r="N21" s="194"/>
      <c r="O21" s="194"/>
      <c r="P21" s="29"/>
      <c r="Q21" s="29"/>
    </row>
    <row r="22" spans="1:20" ht="12.75" customHeight="1" x14ac:dyDescent="0.25">
      <c r="A22" s="95" t="s">
        <v>20</v>
      </c>
      <c r="B22" s="1"/>
      <c r="C22" s="21"/>
      <c r="D22" s="21"/>
      <c r="E22" s="34"/>
      <c r="F22" s="1"/>
      <c r="G22" s="21"/>
      <c r="H22" s="21"/>
      <c r="I22" s="34"/>
      <c r="K22" s="194"/>
      <c r="L22" s="194"/>
      <c r="M22" s="194"/>
      <c r="N22" s="194"/>
      <c r="O22" s="194"/>
      <c r="P22" s="29"/>
      <c r="Q22" s="29"/>
    </row>
    <row r="23" spans="1:20" ht="13.2" x14ac:dyDescent="0.25">
      <c r="A23" s="96" t="s">
        <v>21</v>
      </c>
      <c r="B23" s="36">
        <f>SUM(B18:B22)</f>
        <v>0</v>
      </c>
      <c r="C23" s="185">
        <f>SUM(C18:D22)</f>
        <v>0</v>
      </c>
      <c r="D23" s="185"/>
      <c r="E23" s="37"/>
      <c r="F23" s="36">
        <f>SUM(F18:F22)</f>
        <v>0</v>
      </c>
      <c r="G23" s="185">
        <f>SUM(G18:H22)</f>
        <v>0</v>
      </c>
      <c r="H23" s="185"/>
      <c r="I23" s="37"/>
      <c r="K23" s="194"/>
      <c r="L23" s="194"/>
      <c r="M23" s="194"/>
      <c r="N23" s="194"/>
      <c r="O23" s="194"/>
      <c r="P23" s="29"/>
      <c r="Q23" s="29"/>
    </row>
    <row r="24" spans="1:20" ht="12.75" customHeight="1" x14ac:dyDescent="0.25">
      <c r="A24" s="11"/>
      <c r="B24" s="8"/>
      <c r="C24" s="181" t="str">
        <f>IF(B38&gt;0,"Totaal exclusief verlofuren","")</f>
        <v/>
      </c>
      <c r="D24" s="181"/>
      <c r="E24" s="181"/>
      <c r="F24" s="86" t="str">
        <f>IF(C24="","",C53/C10)</f>
        <v/>
      </c>
      <c r="G24" s="37"/>
      <c r="H24" s="37"/>
      <c r="I24" s="37"/>
      <c r="J24" s="38"/>
      <c r="K24" s="194"/>
      <c r="L24" s="194"/>
      <c r="M24" s="194"/>
      <c r="N24" s="194"/>
      <c r="O24" s="194"/>
      <c r="P24" s="29"/>
      <c r="Q24" s="29"/>
    </row>
    <row r="25" spans="1:20" ht="12.75" customHeight="1" x14ac:dyDescent="0.25">
      <c r="A25" s="11"/>
      <c r="C25" s="87"/>
      <c r="E25" s="31"/>
      <c r="F25" s="157" t="str">
        <f>IF(B38&gt;0,"Werktijdfactor exclusief verlof duurz. inz.:",IF(G35&gt;0,"Werktijdfactor ouderschapsverlof:",""))</f>
        <v/>
      </c>
      <c r="G25" s="157"/>
      <c r="H25" s="158" t="str">
        <f>IF(B38&gt;0,FLOOR((LEFT(H28,2)/40-(G55/1659))*40,1)&amp;" uur"&amp;IF((ROUND(((LEFT(H28,2)/40-(G55/1659))*40-FLOOR((LEFT(H28,2)/40-(G55/1659))*40,1))*60,0))=0,""," en "&amp;ROUND(((LEFT(H28,2)/40-(G55/1659))*40-FLOOR((LEFT(H28,2)/40-(G55/1659))*40,1))*60,0)&amp;" minuten"),IF(G35&gt;0,FLOOR((LEFT(H28,2)/40-(G55/1659))*40,1)&amp;" uur"&amp;IF((ROUND(((LEFT(H28,2)/40-(G55/1659))*40-FLOOR((LEFT(H28,2)/40-(G55/1659))*40,1))*60,0))=0,""," en "&amp;ROUND(((LEFT(H28,2)/40-(G55/1659))*40-FLOOR((LEFT(H28,2)/40-(G55/1659))*40,1))*60,0)&amp;" minuten"),""))</f>
        <v/>
      </c>
      <c r="I25" s="37"/>
      <c r="J25" s="38"/>
      <c r="K25" s="194"/>
      <c r="L25" s="194"/>
      <c r="M25" s="194"/>
      <c r="N25" s="194"/>
      <c r="O25" s="194"/>
      <c r="P25" s="29"/>
      <c r="Q25" s="29"/>
      <c r="S25" s="129">
        <f ca="1">YEAR(NOW())-YEAR(C36)</f>
        <v>126</v>
      </c>
      <c r="T25">
        <f ca="1">YEAR(NOW())</f>
        <v>2026</v>
      </c>
    </row>
    <row r="26" spans="1:20" ht="13.2" x14ac:dyDescent="0.25">
      <c r="A26" s="11"/>
      <c r="B26" s="11"/>
      <c r="C26" s="11"/>
      <c r="D26" s="8"/>
      <c r="E26" s="8"/>
      <c r="F26" s="157"/>
      <c r="G26" s="157"/>
      <c r="H26" s="158"/>
      <c r="I26" s="11"/>
      <c r="K26" s="194"/>
      <c r="L26" s="194"/>
      <c r="M26" s="194"/>
      <c r="N26" s="194"/>
      <c r="O26" s="194"/>
      <c r="P26" s="29"/>
      <c r="Q26" s="29"/>
      <c r="S26" s="41">
        <v>21459</v>
      </c>
      <c r="T26" s="41">
        <f ca="1">DATE((T25-57),MONTH(B36),DAY(B36))</f>
        <v>25203</v>
      </c>
    </row>
    <row r="27" spans="1:20" ht="13.5" customHeight="1" thickBot="1" x14ac:dyDescent="0.3">
      <c r="A27" s="30" t="s">
        <v>22</v>
      </c>
      <c r="B27" s="11"/>
      <c r="C27" s="11"/>
      <c r="D27" s="8"/>
      <c r="E27" s="8"/>
      <c r="F27" s="11"/>
      <c r="G27" s="11"/>
      <c r="H27" s="11"/>
      <c r="I27" s="11"/>
      <c r="K27" s="75"/>
      <c r="L27" s="75"/>
      <c r="M27" s="75"/>
      <c r="N27" s="75"/>
      <c r="O27" s="75"/>
      <c r="P27" s="29"/>
      <c r="Q27" s="29"/>
      <c r="S27" s="41"/>
      <c r="T27" t="str">
        <f>IF(B36="","",IF(B36&lt;=S26,"Overgangsregeling 56+",IF(B36&lt;=T26,"Basis en bijzonder budget","")))</f>
        <v/>
      </c>
    </row>
    <row r="28" spans="1:20" ht="12.75" customHeight="1" x14ac:dyDescent="0.25">
      <c r="A28" s="8" t="s">
        <v>80</v>
      </c>
      <c r="B28" s="11"/>
      <c r="C28" s="11"/>
      <c r="D28" s="3"/>
      <c r="E28" s="76"/>
      <c r="F28" s="148" t="s">
        <v>25</v>
      </c>
      <c r="G28" s="182"/>
      <c r="H28" s="183">
        <f>IFERROR(ROUND((G23-G34/C10*H26+(D28+D28*H10+D29)/41.475),0)&amp;" uur",0)</f>
        <v>0</v>
      </c>
      <c r="K28" s="173" t="s">
        <v>81</v>
      </c>
      <c r="L28" s="173"/>
      <c r="M28" s="173"/>
      <c r="N28" s="173"/>
      <c r="O28" s="173"/>
      <c r="P28" s="29"/>
      <c r="Q28" s="29"/>
      <c r="T28" t="str">
        <f>IF(B36="","",IF(B36&lt;=S26,"Basis en bijzonder budget",IF(B36&lt;=T26,"Enkel basis budget","")))</f>
        <v/>
      </c>
    </row>
    <row r="29" spans="1:20" ht="13.5" customHeight="1" thickBot="1" x14ac:dyDescent="0.3">
      <c r="A29" s="8" t="s">
        <v>82</v>
      </c>
      <c r="B29" s="11"/>
      <c r="D29" s="3"/>
      <c r="E29" s="76"/>
      <c r="F29" s="148"/>
      <c r="G29" s="182"/>
      <c r="H29" s="184"/>
      <c r="K29" s="173"/>
      <c r="L29" s="173"/>
      <c r="M29" s="173"/>
      <c r="N29" s="173"/>
      <c r="O29" s="173"/>
      <c r="P29" s="29"/>
      <c r="Q29" s="29"/>
      <c r="R29" s="44"/>
      <c r="T29" t="str">
        <f>IF(B36="","",IF(B36&lt;=S26,"Enkel basis budget",""))</f>
        <v/>
      </c>
    </row>
    <row r="30" spans="1:20" ht="13.8" thickBot="1" x14ac:dyDescent="0.3">
      <c r="A30" s="45"/>
      <c r="B30" s="45"/>
      <c r="C30" s="45"/>
      <c r="D30" s="46"/>
      <c r="E30" s="46"/>
      <c r="F30" s="106" t="s">
        <v>27</v>
      </c>
      <c r="G30" s="104"/>
      <c r="H30" s="105" t="str">
        <f>IF(H28=0,"",LEFT(H28,2)/40)</f>
        <v/>
      </c>
      <c r="I30" s="45"/>
      <c r="J30" s="47"/>
      <c r="K30" s="174"/>
      <c r="L30" s="174"/>
      <c r="M30" s="174"/>
      <c r="N30" s="174"/>
      <c r="O30" s="174"/>
      <c r="P30" s="29"/>
      <c r="Q30" s="29"/>
    </row>
    <row r="31" spans="1:20" s="10" customFormat="1" ht="13.2" x14ac:dyDescent="0.25">
      <c r="A31" s="11"/>
      <c r="B31" s="11"/>
      <c r="C31" s="11"/>
      <c r="D31" s="8"/>
      <c r="E31" s="8"/>
      <c r="F31" s="11"/>
      <c r="G31" s="11"/>
      <c r="H31" s="11"/>
      <c r="I31" s="11"/>
      <c r="J31" s="39"/>
      <c r="K31" s="191" t="s">
        <v>83</v>
      </c>
      <c r="L31" s="191"/>
      <c r="M31" s="191"/>
      <c r="N31" s="191"/>
      <c r="O31" s="191"/>
      <c r="P31" s="49"/>
      <c r="Q31" s="49"/>
    </row>
    <row r="32" spans="1:20" ht="13.2" x14ac:dyDescent="0.25">
      <c r="A32" s="11" t="s">
        <v>28</v>
      </c>
      <c r="B32" s="8"/>
      <c r="C32" s="8"/>
      <c r="D32" s="8"/>
      <c r="E32" s="8"/>
      <c r="F32" s="11"/>
      <c r="G32" s="11"/>
      <c r="H32" s="11"/>
      <c r="I32" s="11"/>
      <c r="K32" s="161"/>
      <c r="L32" s="161"/>
      <c r="M32" s="161"/>
      <c r="N32" s="161"/>
      <c r="O32" s="161"/>
      <c r="S32" t="s">
        <v>30</v>
      </c>
    </row>
    <row r="33" spans="1:22" ht="13.2" x14ac:dyDescent="0.25">
      <c r="A33" s="8" t="s">
        <v>102</v>
      </c>
      <c r="B33" s="167"/>
      <c r="C33" s="167"/>
      <c r="E33" s="8"/>
      <c r="F33" s="11"/>
      <c r="G33" s="11"/>
      <c r="H33" s="11"/>
      <c r="I33" s="11"/>
      <c r="K33" s="114"/>
      <c r="L33" s="114"/>
      <c r="M33" s="114"/>
      <c r="N33" s="114"/>
      <c r="O33" s="114"/>
    </row>
    <row r="34" spans="1:22" ht="13.2" x14ac:dyDescent="0.25">
      <c r="A34" s="8" t="str">
        <f>'wtf OP, obv lesuren'!A29</f>
        <v>Vrij geroosterde lesuren</v>
      </c>
      <c r="B34" s="200"/>
      <c r="C34" s="201"/>
      <c r="D34" s="8" t="str">
        <f>IF(B34="ja","Aantal lesuren verlof per jaar","")</f>
        <v/>
      </c>
      <c r="E34" s="11"/>
      <c r="F34" s="11"/>
      <c r="G34" s="5"/>
      <c r="H34" s="8"/>
      <c r="I34" s="11"/>
      <c r="K34" s="114"/>
      <c r="L34" s="114"/>
      <c r="M34" s="114"/>
      <c r="N34" s="114"/>
      <c r="O34" s="114"/>
    </row>
    <row r="35" spans="1:22" ht="13.2" x14ac:dyDescent="0.25">
      <c r="A35" s="8" t="s">
        <v>33</v>
      </c>
      <c r="B35" s="200"/>
      <c r="C35" s="201"/>
      <c r="D35" s="8" t="str">
        <f>IF(B35="Ja","Werktijdfactor verlof","")</f>
        <v/>
      </c>
      <c r="E35" s="8"/>
      <c r="F35" s="8"/>
      <c r="G35" s="5"/>
      <c r="H35" s="8"/>
      <c r="I35" s="11"/>
      <c r="K35" s="114"/>
      <c r="L35" s="114"/>
      <c r="M35" s="114"/>
      <c r="N35" s="114"/>
      <c r="O35" s="114"/>
    </row>
    <row r="36" spans="1:22" ht="13.2" x14ac:dyDescent="0.25">
      <c r="A36" s="8" t="s">
        <v>34</v>
      </c>
      <c r="B36" s="200"/>
      <c r="C36" s="201"/>
      <c r="D36" s="8"/>
      <c r="E36" s="193" t="str">
        <f>IF(B38&gt;0,"Verdeling uren verlof duurz. inz.","")</f>
        <v/>
      </c>
      <c r="F36" s="193"/>
      <c r="G36" s="193"/>
      <c r="H36" s="193"/>
      <c r="J36" s="39"/>
      <c r="K36" s="147" t="s">
        <v>100</v>
      </c>
      <c r="L36" s="147"/>
      <c r="M36" s="147"/>
      <c r="N36" s="147"/>
      <c r="O36" s="147"/>
      <c r="P36" s="11"/>
      <c r="Q36" s="11"/>
      <c r="R36">
        <f>2014-1958</f>
        <v>56</v>
      </c>
      <c r="S36" t="s">
        <v>35</v>
      </c>
    </row>
    <row r="37" spans="1:22" ht="13.2" x14ac:dyDescent="0.25">
      <c r="A37" s="8" t="str">
        <f>IF(B36="","",IF($B$36&lt;$S$26,"Recht duurzame inzetbaarheid",IF($B$36&lt;=$T$26,"Recht duurzame inzetbaarheid","")))</f>
        <v/>
      </c>
      <c r="B37" s="199"/>
      <c r="C37" s="199"/>
      <c r="E37" s="8"/>
      <c r="F37" s="31" t="str">
        <f>IF(B38&gt;0,"Lesuren","")</f>
        <v/>
      </c>
      <c r="G37" s="31" t="str">
        <f>IF(B38&gt;0,"v/n-werk","")</f>
        <v/>
      </c>
      <c r="H37" s="31" t="str">
        <f>IF(B38&gt;0,"Taakuren","")</f>
        <v/>
      </c>
      <c r="J37" s="39"/>
      <c r="K37" s="147"/>
      <c r="L37" s="147"/>
      <c r="M37" s="147"/>
      <c r="N37" s="147"/>
      <c r="O37" s="147"/>
      <c r="P37" s="11"/>
      <c r="Q37" s="11"/>
      <c r="S37" t="s">
        <v>36</v>
      </c>
      <c r="U37" s="89">
        <f>G35*1659</f>
        <v>0</v>
      </c>
      <c r="V37" s="89"/>
    </row>
    <row r="38" spans="1:22" ht="13.2" x14ac:dyDescent="0.25">
      <c r="A38" s="8" t="str">
        <f>IF(B37="","",IF(B37="Overgangsregeling 52+","Waarvan uren verlof",IF(B37="Overgangsregeling 56+","Waarvan uren verlof",IF(B37="Basis en bijzonder budget","Waarvan uren verlof",""))))</f>
        <v/>
      </c>
      <c r="B38" s="6"/>
      <c r="C38" s="50" t="str">
        <f>IF(B37="Overgangsregeling 56+",ROUND(170*LEFT(H28,2)/40,0)&amp;" - "&amp;ROUND(340*LEFT(H28,2)/40,0),IF(B37="Overgangsregeling 52+","0 - "&amp;ROUND(170*LEFT(H28,2)/40,0),IF(B37="Basis en bijzonder budget","0 - "&amp;ROUND(170*LEFT(H28,2)/40,0),"")))</f>
        <v/>
      </c>
      <c r="D38" s="8" t="str">
        <f>IF(G35&gt;0,"Lesuren","")</f>
        <v/>
      </c>
      <c r="E38" s="8" t="str">
        <f>IFERROR(ROUND(IF(G35&gt;0,U38*U37,""),0),"")</f>
        <v/>
      </c>
      <c r="F38" s="5"/>
      <c r="G38" s="5"/>
      <c r="H38" s="5"/>
      <c r="I38" s="11"/>
      <c r="J38" s="39"/>
      <c r="K38" s="147"/>
      <c r="L38" s="147"/>
      <c r="M38" s="147"/>
      <c r="N38" s="147"/>
      <c r="O38" s="147"/>
      <c r="P38" s="11"/>
      <c r="Q38" s="11"/>
      <c r="S38" s="88">
        <f>ROUND(F23*C10+D28-G34,0)</f>
        <v>0</v>
      </c>
      <c r="T38" s="89"/>
      <c r="U38" s="90" t="e">
        <f>S38/SUM($S$38:$S$43)</f>
        <v>#DIV/0!</v>
      </c>
      <c r="V38" s="89" t="str">
        <f>IFERROR(U38*$U$37,"")</f>
        <v/>
      </c>
    </row>
    <row r="39" spans="1:22" ht="13.2" x14ac:dyDescent="0.25">
      <c r="A39" s="171" t="str">
        <f>IF(G35&gt;0,"Verdeling uren ouderschapsverlof","")</f>
        <v/>
      </c>
      <c r="B39" s="171"/>
      <c r="C39" s="171"/>
      <c r="D39" s="8" t="str">
        <f>IF(G35&gt;0,"v/n-werk","")</f>
        <v/>
      </c>
      <c r="E39" s="8"/>
      <c r="F39" s="97" t="str">
        <f>IFERROR(ROUND(IF(G35&gt;0,U40*U37,""),0),"")</f>
        <v/>
      </c>
      <c r="G39" s="98" t="str">
        <f>IF(B38&gt;0,IF(B38&gt;SUM(F38:H38),"nog "&amp;B38-SUM(F38:H38)&amp;" uur",IF(B38=SUM(F38:H38),"verdeeld","te veel uren")),IF(G35&gt;0,"Taakuren",""))</f>
        <v/>
      </c>
      <c r="H39" s="8" t="str">
        <f>IFERROR(ROUND(IF(G35&gt;0,U43*U37,""),0),"")</f>
        <v/>
      </c>
      <c r="I39" s="11"/>
      <c r="J39" s="39"/>
      <c r="K39" s="147"/>
      <c r="L39" s="147"/>
      <c r="M39" s="147"/>
      <c r="N39" s="147"/>
      <c r="O39" s="147"/>
      <c r="P39" s="11"/>
      <c r="Q39" s="11"/>
      <c r="S39" s="88"/>
      <c r="T39" s="89"/>
      <c r="U39" s="90"/>
      <c r="V39" s="89"/>
    </row>
    <row r="40" spans="1:22" ht="13.8" thickBot="1" x14ac:dyDescent="0.3">
      <c r="A40" s="46"/>
      <c r="B40" s="45"/>
      <c r="C40" s="45"/>
      <c r="D40" s="93" t="str">
        <f>IF(G35&gt;0,"Professionalisering","")</f>
        <v/>
      </c>
      <c r="E40" s="46"/>
      <c r="F40" s="92" t="str">
        <f>IFERROR(ROUND(IF(G35&gt;0,U41*U37,""),0),"")</f>
        <v/>
      </c>
      <c r="G40" s="94" t="str">
        <f>IF(G35&gt;0,"Duurz. inz.","")</f>
        <v/>
      </c>
      <c r="H40" s="91" t="str">
        <f>IFERROR(ROUND(IF(G35&gt;0,U42*U37,""),0),"")</f>
        <v/>
      </c>
      <c r="I40" s="45"/>
      <c r="J40" s="47"/>
      <c r="K40" s="192"/>
      <c r="L40" s="192"/>
      <c r="M40" s="192"/>
      <c r="N40" s="192"/>
      <c r="O40" s="192"/>
      <c r="P40" s="11"/>
      <c r="Q40" s="11"/>
      <c r="S40" s="89">
        <f>ROUND(S38*H10,0)</f>
        <v>0</v>
      </c>
      <c r="T40" s="88">
        <f>S38+S40</f>
        <v>0</v>
      </c>
      <c r="U40" s="90" t="e">
        <f t="shared" ref="U40:U43" si="0">S40/SUM($S$38:$S$43)</f>
        <v>#DIV/0!</v>
      </c>
      <c r="V40" s="89" t="e">
        <f t="shared" ref="V40:V43" si="1">U40*$U$37</f>
        <v>#DIV/0!</v>
      </c>
    </row>
    <row r="41" spans="1:22" ht="13.2" x14ac:dyDescent="0.25">
      <c r="A41" s="8"/>
      <c r="B41" s="11"/>
      <c r="C41" s="11"/>
      <c r="D41" s="8"/>
      <c r="E41" s="8"/>
      <c r="F41" s="11"/>
      <c r="G41" s="11"/>
      <c r="H41" s="11"/>
      <c r="I41" s="11"/>
      <c r="J41" s="39"/>
      <c r="K41" s="11"/>
      <c r="L41" s="11"/>
      <c r="M41" s="11"/>
      <c r="N41" s="11"/>
      <c r="O41" s="11"/>
      <c r="P41" s="11"/>
      <c r="Q41" s="11"/>
      <c r="S41" s="88">
        <f>ROUND(LEFT(H28,2)/40*2*41.475,0)</f>
        <v>0</v>
      </c>
      <c r="T41" s="89"/>
      <c r="U41" s="90" t="e">
        <f t="shared" si="0"/>
        <v>#DIV/0!</v>
      </c>
      <c r="V41" s="89" t="e">
        <f t="shared" si="1"/>
        <v>#DIV/0!</v>
      </c>
    </row>
    <row r="42" spans="1:22" ht="13.2" x14ac:dyDescent="0.25">
      <c r="A42" s="11" t="s">
        <v>37</v>
      </c>
      <c r="B42" s="11"/>
      <c r="C42" s="11"/>
      <c r="D42" s="8"/>
      <c r="E42" s="8"/>
      <c r="F42" s="11"/>
      <c r="G42" s="11"/>
      <c r="H42" s="11"/>
      <c r="I42" s="11"/>
      <c r="J42" s="39"/>
      <c r="K42" s="159" t="s">
        <v>39</v>
      </c>
      <c r="L42" s="159"/>
      <c r="M42" s="159"/>
      <c r="N42" s="159"/>
      <c r="O42" s="159"/>
      <c r="P42" s="66">
        <f>C56+C103+G56</f>
        <v>0</v>
      </c>
      <c r="Q42" s="11"/>
      <c r="R42" t="str">
        <f>IF(B38&gt;0,IF(B38&gt;SUM(F38:H38),"nog "&amp;B38-SUM(F38:H38)&amp;" uren te vullen",IF(B38=SUM(F38:H38),"verlof is verdeeld","te veel verlofuren ingevuld")),"")</f>
        <v/>
      </c>
      <c r="S42" s="88">
        <f>ROUND(IF(A38="",ROUND(LEFT(H28,2)/40*40,0),ROUND(VLOOKUP(B37,$S$52:$T$56,2,FALSE)*LEFT(H28,2)/40,0))-B38,0)</f>
        <v>0</v>
      </c>
      <c r="T42" s="89"/>
      <c r="U42" s="90" t="e">
        <f t="shared" si="0"/>
        <v>#DIV/0!</v>
      </c>
      <c r="V42" s="89" t="e">
        <f t="shared" si="1"/>
        <v>#DIV/0!</v>
      </c>
    </row>
    <row r="43" spans="1:22" ht="13.2" x14ac:dyDescent="0.25">
      <c r="A43" s="6" t="s">
        <v>38</v>
      </c>
      <c r="B43" s="11"/>
      <c r="C43" s="20"/>
      <c r="D43" s="8"/>
      <c r="E43" s="8"/>
      <c r="F43" s="11"/>
      <c r="G43" s="11"/>
      <c r="H43" s="11"/>
      <c r="I43" s="11"/>
      <c r="J43" s="39"/>
      <c r="K43" s="159"/>
      <c r="L43" s="159"/>
      <c r="M43" s="159"/>
      <c r="N43" s="159"/>
      <c r="O43" s="159"/>
      <c r="P43" s="11"/>
      <c r="Q43" s="11"/>
      <c r="S43" s="89">
        <f>IFERROR(ROUND(T60,0),0)</f>
        <v>0</v>
      </c>
      <c r="T43" s="89"/>
      <c r="U43" s="90" t="e">
        <f t="shared" si="0"/>
        <v>#DIV/0!</v>
      </c>
      <c r="V43" s="89" t="e">
        <f t="shared" si="1"/>
        <v>#DIV/0!</v>
      </c>
    </row>
    <row r="44" spans="1:22" ht="13.2" x14ac:dyDescent="0.25">
      <c r="A44" s="6" t="s">
        <v>40</v>
      </c>
      <c r="B44" s="11"/>
      <c r="C44" s="20"/>
      <c r="D44" s="8"/>
      <c r="E44" s="8"/>
      <c r="F44" s="11"/>
      <c r="G44" s="11"/>
      <c r="H44" s="11"/>
      <c r="I44" s="11"/>
      <c r="J44" s="39"/>
      <c r="K44" s="159"/>
      <c r="L44" s="159"/>
      <c r="M44" s="159"/>
      <c r="N44" s="159"/>
      <c r="O44" s="159"/>
    </row>
    <row r="45" spans="1:22" ht="13.2" x14ac:dyDescent="0.25">
      <c r="A45" s="6" t="s">
        <v>41</v>
      </c>
      <c r="B45" s="11"/>
      <c r="C45" s="20"/>
      <c r="D45" s="8"/>
      <c r="E45" s="8"/>
      <c r="F45" s="11"/>
      <c r="G45" s="11"/>
      <c r="H45" s="11"/>
      <c r="I45" s="11"/>
      <c r="J45" s="39"/>
      <c r="K45" s="159"/>
      <c r="L45" s="159"/>
      <c r="M45" s="159"/>
      <c r="N45" s="159"/>
      <c r="O45" s="159"/>
      <c r="P45" s="11"/>
      <c r="Q45" s="11"/>
    </row>
    <row r="46" spans="1:22" ht="13.2" x14ac:dyDescent="0.25">
      <c r="A46" s="6" t="s">
        <v>42</v>
      </c>
      <c r="B46" s="11"/>
      <c r="C46" s="20"/>
      <c r="D46" s="8"/>
      <c r="E46" s="8"/>
      <c r="F46" s="11"/>
      <c r="G46" s="11"/>
      <c r="H46" s="11"/>
      <c r="I46" s="11"/>
      <c r="J46" s="39"/>
      <c r="K46" s="39"/>
      <c r="L46" s="39"/>
      <c r="M46" s="39"/>
      <c r="N46" s="39"/>
      <c r="O46" s="39"/>
      <c r="P46" s="11"/>
      <c r="Q46" s="11"/>
    </row>
    <row r="47" spans="1:22" ht="13.2" x14ac:dyDescent="0.25">
      <c r="A47" s="11" t="s">
        <v>21</v>
      </c>
      <c r="B47" s="11"/>
      <c r="C47" s="52">
        <f>SUM(C43:C46)</f>
        <v>0</v>
      </c>
      <c r="D47" s="8"/>
      <c r="E47" s="8"/>
      <c r="F47" s="11"/>
      <c r="G47" s="11"/>
      <c r="H47" s="11"/>
      <c r="I47" s="11"/>
      <c r="J47" s="39"/>
      <c r="K47" s="39"/>
      <c r="L47" s="39"/>
      <c r="M47" s="39"/>
      <c r="N47" s="39"/>
      <c r="O47" s="39"/>
      <c r="P47" s="11"/>
      <c r="Q47" s="11"/>
    </row>
    <row r="48" spans="1:22" ht="13.8" thickBot="1" x14ac:dyDescent="0.3">
      <c r="A48" s="53"/>
      <c r="B48" s="54"/>
      <c r="C48" s="54"/>
      <c r="D48" s="53"/>
      <c r="E48" s="53"/>
      <c r="F48" s="54"/>
      <c r="G48" s="54"/>
      <c r="H48" s="54"/>
      <c r="I48" s="54"/>
      <c r="J48" s="77"/>
      <c r="K48" s="39"/>
      <c r="L48" s="39"/>
      <c r="M48" s="39"/>
      <c r="N48" s="39"/>
      <c r="O48" s="39"/>
      <c r="P48" s="11"/>
      <c r="Q48" s="11"/>
    </row>
    <row r="49" spans="1:20" ht="13.2" x14ac:dyDescent="0.25">
      <c r="A49" s="11"/>
      <c r="B49" s="11"/>
      <c r="C49" s="11"/>
      <c r="D49" s="8"/>
      <c r="E49" s="8"/>
      <c r="F49" s="11"/>
      <c r="G49" s="11"/>
      <c r="H49" s="16"/>
      <c r="I49" s="16"/>
      <c r="S49" t="str">
        <f>IF(B37="Overgangsregeling 56+",ROUND(340*LEFT(H28,2)/40,0),IF(B37="Overgangsregeling 52+",ROUND(170*LEFT(H28,2)/40,0),IF(B37="Basis en bijzonder budget",ROUND(170*LEFT(H28,2)/40,0),"")))</f>
        <v/>
      </c>
    </row>
    <row r="50" spans="1:20" ht="13.2" x14ac:dyDescent="0.25">
      <c r="A50" s="16" t="s">
        <v>43</v>
      </c>
      <c r="B50" s="11"/>
      <c r="C50" s="11"/>
      <c r="D50" s="8"/>
      <c r="E50" s="8"/>
      <c r="F50" s="11"/>
      <c r="G50" s="11"/>
      <c r="H50" s="16"/>
      <c r="I50" s="16"/>
    </row>
    <row r="51" spans="1:20" ht="13.2" x14ac:dyDescent="0.25">
      <c r="A51" s="16"/>
      <c r="B51" s="11"/>
      <c r="C51" s="11"/>
      <c r="D51" s="8"/>
      <c r="E51" s="8"/>
      <c r="F51" s="11"/>
      <c r="G51" s="16"/>
      <c r="H51" s="16"/>
      <c r="I51" s="16"/>
    </row>
    <row r="52" spans="1:20" ht="13.2" x14ac:dyDescent="0.25">
      <c r="A52" s="16" t="s">
        <v>44</v>
      </c>
      <c r="B52" s="8"/>
      <c r="C52" s="11"/>
      <c r="E52" s="56" t="s">
        <v>45</v>
      </c>
      <c r="F52" s="11"/>
      <c r="G52" s="16"/>
      <c r="H52" s="8"/>
      <c r="S52" t="s">
        <v>46</v>
      </c>
      <c r="T52">
        <f>130+123</f>
        <v>253</v>
      </c>
    </row>
    <row r="53" spans="1:20" ht="13.2" x14ac:dyDescent="0.25">
      <c r="A53" s="8" t="s">
        <v>47</v>
      </c>
      <c r="C53" s="78">
        <f>IFERROR(ROUND(IF(G35&gt;0,T58-V38,T58-F38),0),0)</f>
        <v>0</v>
      </c>
      <c r="D53" s="58"/>
      <c r="E53" s="165" t="str">
        <f>IF(B33="Ja","PDI incl. uren startende werknemer","Professionalisering en duurzame inzetbaarheid")</f>
        <v>Professionalisering en duurzame inzetbaarheid</v>
      </c>
      <c r="F53" s="165"/>
      <c r="G53" s="166">
        <f>IFERROR(ROUND(IF(A38="",ROUND(LEFT(H28,2)/40*IF(B33="Ja",163,123),0),ROUND(VLOOKUP(B37,$S$52:$T$56,2,FALSE)*LEFT(H28,2)/40,0))-B38-V42,0),0)</f>
        <v>0</v>
      </c>
      <c r="H53" s="8"/>
      <c r="S53" t="s">
        <v>48</v>
      </c>
      <c r="T53">
        <f>340+123</f>
        <v>463</v>
      </c>
    </row>
    <row r="54" spans="1:20" ht="13.2" x14ac:dyDescent="0.25">
      <c r="A54" s="8" t="s">
        <v>49</v>
      </c>
      <c r="B54" s="8"/>
      <c r="C54" s="78">
        <f>IFERROR(ROUND(IF(G35&gt;0,T59-V40,IF(B38&gt;0,T59-G38,T59)),0),0)</f>
        <v>0</v>
      </c>
      <c r="D54" s="57"/>
      <c r="E54" s="165"/>
      <c r="F54" s="165"/>
      <c r="G54" s="166"/>
      <c r="H54" s="62"/>
      <c r="I54" s="62"/>
      <c r="K54" s="61"/>
      <c r="L54" s="61"/>
      <c r="M54" s="61"/>
      <c r="N54" s="61"/>
      <c r="O54" s="61"/>
      <c r="P54" s="62"/>
      <c r="Q54" s="62"/>
      <c r="S54" t="s">
        <v>50</v>
      </c>
      <c r="T54">
        <f>130+123</f>
        <v>253</v>
      </c>
    </row>
    <row r="55" spans="1:20" ht="13.8" thickBot="1" x14ac:dyDescent="0.3">
      <c r="A55" s="8" t="s">
        <v>51</v>
      </c>
      <c r="B55" s="8"/>
      <c r="C55" s="78">
        <f>C47</f>
        <v>0</v>
      </c>
      <c r="D55" s="57"/>
      <c r="E55" s="8" t="str">
        <f>IF(B38&gt;0,"Verlof duurz. inz.",IF(G35&gt;0,"Ouderschapsverlof",""))</f>
        <v/>
      </c>
      <c r="F55" s="8"/>
      <c r="G55" s="59">
        <f>ROUND(IF(E55="",0,IF(B38&gt;0,B38,U37)),0)</f>
        <v>0</v>
      </c>
      <c r="H55" s="62"/>
      <c r="I55" s="62"/>
      <c r="K55" s="61"/>
      <c r="L55" s="61"/>
      <c r="M55" s="61"/>
      <c r="N55" s="61"/>
      <c r="O55" s="61"/>
      <c r="P55" s="62"/>
      <c r="Q55" s="130">
        <f>C103+G56+C56</f>
        <v>0</v>
      </c>
    </row>
    <row r="56" spans="1:20" ht="13.8" thickBot="1" x14ac:dyDescent="0.3">
      <c r="A56" s="11" t="s">
        <v>52</v>
      </c>
      <c r="B56" s="11"/>
      <c r="C56" s="81">
        <f>SUM(C53:C55)</f>
        <v>0</v>
      </c>
      <c r="D56" s="14"/>
      <c r="E56" s="11" t="s">
        <v>21</v>
      </c>
      <c r="F56" s="16"/>
      <c r="G56" s="65">
        <f>SUM(G53:G55)</f>
        <v>0</v>
      </c>
      <c r="H56" s="8"/>
      <c r="S56" t="s">
        <v>53</v>
      </c>
      <c r="T56">
        <v>123</v>
      </c>
    </row>
    <row r="57" spans="1:20" ht="13.2" x14ac:dyDescent="0.25">
      <c r="A57" s="118"/>
      <c r="B57" s="11"/>
      <c r="C57" s="14"/>
      <c r="D57" s="11"/>
      <c r="E57" s="11"/>
      <c r="F57" s="16"/>
      <c r="G57" s="16"/>
      <c r="H57" s="8"/>
    </row>
    <row r="58" spans="1:20" ht="13.2" x14ac:dyDescent="0.25">
      <c r="A58" s="16" t="s">
        <v>54</v>
      </c>
      <c r="C58" s="11"/>
      <c r="D58" s="14"/>
      <c r="E58" s="160" t="str">
        <f>IF(C102&lt;0,"LET OP:","")</f>
        <v/>
      </c>
      <c r="F58" s="160"/>
      <c r="G58" s="160"/>
      <c r="H58" s="160"/>
      <c r="K58" s="161" t="s">
        <v>84</v>
      </c>
      <c r="L58" s="161"/>
      <c r="M58" s="161"/>
      <c r="N58" s="161"/>
      <c r="O58" s="161"/>
      <c r="S58" s="8" t="s">
        <v>47</v>
      </c>
      <c r="T58">
        <f>ROUND(F23*C10+D28-G34,0)</f>
        <v>0</v>
      </c>
    </row>
    <row r="59" spans="1:20" ht="13.2" x14ac:dyDescent="0.25">
      <c r="A59" s="22" t="s">
        <v>60</v>
      </c>
      <c r="B59" s="8"/>
      <c r="C59" s="13"/>
      <c r="D59" s="8"/>
      <c r="E59" s="160"/>
      <c r="F59" s="160"/>
      <c r="G59" s="160"/>
      <c r="H59" s="160"/>
      <c r="K59" s="161"/>
      <c r="L59" s="161"/>
      <c r="M59" s="161"/>
      <c r="N59" s="161"/>
      <c r="O59" s="161"/>
      <c r="S59" s="8" t="s">
        <v>49</v>
      </c>
      <c r="T59">
        <f>ROUND(T58*H10,0)</f>
        <v>0</v>
      </c>
    </row>
    <row r="60" spans="1:20" ht="12.75" customHeight="1" x14ac:dyDescent="0.25">
      <c r="A60" s="22" t="s">
        <v>60</v>
      </c>
      <c r="B60" s="8"/>
      <c r="C60" s="13"/>
      <c r="D60" s="198" t="str">
        <f>IF(C102&lt;0,"De werktijdfactor is te laag om adeze taken te kunnen vervullen. Vul in cel D29 extra uren in of verstrek een extra dagdeel.","")</f>
        <v/>
      </c>
      <c r="E60" s="162"/>
      <c r="F60" s="162"/>
      <c r="G60" s="162"/>
      <c r="H60" s="162"/>
      <c r="K60" s="161"/>
      <c r="L60" s="161"/>
      <c r="M60" s="161"/>
      <c r="N60" s="161"/>
      <c r="O60" s="161"/>
      <c r="S60" s="7" t="s">
        <v>66</v>
      </c>
      <c r="T60">
        <f>ROUND(1659*(LEFT(H28,2)/40)-T59-T58-ROUND(IF(A38="",ROUND(LEFT(H28,2)/40*IF(B33="Ja",163,123),0),ROUND(VLOOKUP(B37,$S$52:$T$56,2,FALSE)*LEFT(H28,2)/40,0))-B38,0)-C47,0)</f>
        <v>0</v>
      </c>
    </row>
    <row r="61" spans="1:20" ht="12.75" customHeight="1" x14ac:dyDescent="0.25">
      <c r="A61" s="22" t="s">
        <v>60</v>
      </c>
      <c r="B61" s="8"/>
      <c r="C61" s="13"/>
      <c r="D61" s="198"/>
      <c r="E61" s="162"/>
      <c r="F61" s="162"/>
      <c r="G61" s="162"/>
      <c r="H61" s="162"/>
      <c r="K61" s="161"/>
      <c r="L61" s="161"/>
      <c r="M61" s="161"/>
      <c r="N61" s="161"/>
      <c r="O61" s="161"/>
    </row>
    <row r="62" spans="1:20" ht="12.75" customHeight="1" x14ac:dyDescent="0.25">
      <c r="A62" s="22" t="s">
        <v>60</v>
      </c>
      <c r="B62" s="8"/>
      <c r="C62" s="13"/>
      <c r="D62" s="121"/>
      <c r="E62" s="15"/>
      <c r="F62" s="15"/>
      <c r="G62" s="15"/>
      <c r="H62" s="15"/>
      <c r="I62" s="15"/>
      <c r="K62" s="161"/>
      <c r="L62" s="161"/>
      <c r="M62" s="161"/>
      <c r="N62" s="161"/>
      <c r="O62" s="161"/>
    </row>
    <row r="63" spans="1:20" ht="13.2" customHeight="1" x14ac:dyDescent="0.25">
      <c r="A63" s="22" t="s">
        <v>60</v>
      </c>
      <c r="B63" s="8"/>
      <c r="C63" s="13"/>
      <c r="D63" s="121"/>
      <c r="E63" s="163" t="s">
        <v>101</v>
      </c>
      <c r="F63" s="163"/>
      <c r="G63" s="163"/>
      <c r="H63" s="163"/>
      <c r="I63" s="15"/>
      <c r="T63">
        <f>ROUND(1659*(LEFT(H28,2)/40)-ROUND(IF(A38="",ROUND(LEFT(H28,2)/40*IF(B33="Ja",163,123),0),ROUND(VLOOKUP(B37,$S$52:$T$56,2,FALSE)*LEFT(H28,2)/40,0))-B38,0),0)</f>
        <v>0</v>
      </c>
    </row>
    <row r="64" spans="1:20" ht="13.2" x14ac:dyDescent="0.25">
      <c r="A64" s="22" t="s">
        <v>60</v>
      </c>
      <c r="B64" s="8"/>
      <c r="C64" s="13"/>
      <c r="D64" s="14"/>
      <c r="E64" s="111" t="s">
        <v>130</v>
      </c>
      <c r="F64" s="205">
        <f>G55</f>
        <v>0</v>
      </c>
      <c r="G64" s="206"/>
      <c r="H64" s="207"/>
      <c r="I64" s="15"/>
      <c r="S64" s="67">
        <f>1659/40*LEFT(H28,2)</f>
        <v>0</v>
      </c>
    </row>
    <row r="65" spans="1:9" ht="12.75" customHeight="1" x14ac:dyDescent="0.25">
      <c r="A65" s="22" t="s">
        <v>60</v>
      </c>
      <c r="B65" s="8"/>
      <c r="C65" s="13"/>
      <c r="D65" s="14"/>
      <c r="E65" s="111" t="s">
        <v>58</v>
      </c>
      <c r="F65" s="195"/>
      <c r="G65" s="196"/>
      <c r="H65" s="197"/>
      <c r="I65" s="15"/>
    </row>
    <row r="66" spans="1:9" ht="13.2" x14ac:dyDescent="0.25">
      <c r="A66" s="22" t="s">
        <v>60</v>
      </c>
      <c r="B66" s="8"/>
      <c r="C66" s="13"/>
      <c r="D66" s="14"/>
      <c r="E66" s="111" t="s">
        <v>62</v>
      </c>
      <c r="F66" s="195"/>
      <c r="G66" s="196"/>
      <c r="H66" s="197"/>
      <c r="I66" s="15"/>
    </row>
    <row r="67" spans="1:9" ht="12.75" customHeight="1" x14ac:dyDescent="0.25">
      <c r="A67" s="22" t="s">
        <v>60</v>
      </c>
      <c r="B67" s="8"/>
      <c r="C67" s="13"/>
      <c r="D67" s="14"/>
      <c r="E67" s="111" t="s">
        <v>61</v>
      </c>
      <c r="F67" s="195"/>
      <c r="G67" s="196"/>
      <c r="H67" s="197"/>
      <c r="I67" s="15"/>
    </row>
    <row r="68" spans="1:9" ht="13.2" x14ac:dyDescent="0.25">
      <c r="A68" s="22" t="s">
        <v>60</v>
      </c>
      <c r="B68" s="8"/>
      <c r="C68" s="13"/>
      <c r="D68" s="14"/>
      <c r="E68" s="112" t="s">
        <v>63</v>
      </c>
      <c r="F68" s="195"/>
      <c r="G68" s="196"/>
      <c r="H68" s="197"/>
      <c r="I68" s="15"/>
    </row>
    <row r="69" spans="1:9" ht="13.2" x14ac:dyDescent="0.25">
      <c r="A69" s="22" t="s">
        <v>60</v>
      </c>
      <c r="B69" s="8"/>
      <c r="C69" s="13"/>
      <c r="D69" s="14"/>
      <c r="E69" s="112" t="s">
        <v>64</v>
      </c>
      <c r="F69" s="195"/>
      <c r="G69" s="196"/>
      <c r="H69" s="197"/>
      <c r="I69" s="15"/>
    </row>
    <row r="70" spans="1:9" ht="13.2" x14ac:dyDescent="0.25">
      <c r="A70" s="22" t="s">
        <v>60</v>
      </c>
      <c r="B70" s="8"/>
      <c r="C70" s="13"/>
      <c r="D70" s="14"/>
      <c r="E70" s="112" t="s">
        <v>60</v>
      </c>
      <c r="F70" s="195"/>
      <c r="G70" s="196"/>
      <c r="H70" s="197"/>
      <c r="I70" s="15"/>
    </row>
    <row r="71" spans="1:9" ht="13.2" hidden="1" x14ac:dyDescent="0.25">
      <c r="A71" s="22" t="s">
        <v>60</v>
      </c>
      <c r="B71" s="8"/>
      <c r="C71" s="13"/>
      <c r="D71" s="14"/>
      <c r="E71" s="112" t="s">
        <v>60</v>
      </c>
      <c r="F71" s="195"/>
      <c r="G71" s="196"/>
      <c r="H71" s="197"/>
      <c r="I71" s="15"/>
    </row>
    <row r="72" spans="1:9" ht="13.2" hidden="1" x14ac:dyDescent="0.25">
      <c r="A72" s="22" t="s">
        <v>60</v>
      </c>
      <c r="B72" s="8"/>
      <c r="C72" s="13"/>
      <c r="D72" s="14"/>
      <c r="E72" s="112" t="s">
        <v>60</v>
      </c>
      <c r="F72" s="195"/>
      <c r="G72" s="196"/>
      <c r="H72" s="197"/>
      <c r="I72" s="15"/>
    </row>
    <row r="73" spans="1:9" ht="13.2" hidden="1" x14ac:dyDescent="0.25">
      <c r="A73" s="22" t="s">
        <v>60</v>
      </c>
      <c r="B73" s="8"/>
      <c r="C73" s="13"/>
      <c r="D73" s="14"/>
      <c r="E73" s="112" t="s">
        <v>60</v>
      </c>
      <c r="F73" s="195"/>
      <c r="G73" s="196"/>
      <c r="H73" s="197"/>
      <c r="I73" s="15"/>
    </row>
    <row r="74" spans="1:9" ht="13.2" hidden="1" x14ac:dyDescent="0.25">
      <c r="A74" s="22" t="s">
        <v>60</v>
      </c>
      <c r="B74" s="8"/>
      <c r="C74" s="13"/>
      <c r="D74" s="14"/>
      <c r="E74" s="112" t="s">
        <v>60</v>
      </c>
      <c r="F74" s="195"/>
      <c r="G74" s="196"/>
      <c r="H74" s="197"/>
      <c r="I74" s="15"/>
    </row>
    <row r="75" spans="1:9" ht="13.2" hidden="1" x14ac:dyDescent="0.25">
      <c r="A75" s="22" t="s">
        <v>60</v>
      </c>
      <c r="B75" s="8"/>
      <c r="C75" s="13"/>
      <c r="D75" s="14"/>
      <c r="E75" s="112" t="s">
        <v>60</v>
      </c>
      <c r="F75" s="195"/>
      <c r="G75" s="196"/>
      <c r="H75" s="197"/>
      <c r="I75" s="15"/>
    </row>
    <row r="76" spans="1:9" ht="13.2" hidden="1" x14ac:dyDescent="0.25">
      <c r="A76" s="22" t="s">
        <v>60</v>
      </c>
      <c r="B76" s="8"/>
      <c r="C76" s="13"/>
      <c r="D76" s="14"/>
      <c r="E76" s="112" t="s">
        <v>60</v>
      </c>
      <c r="F76" s="195"/>
      <c r="G76" s="196"/>
      <c r="H76" s="197"/>
      <c r="I76" s="15"/>
    </row>
    <row r="77" spans="1:9" ht="13.2" hidden="1" x14ac:dyDescent="0.25">
      <c r="A77" s="22" t="s">
        <v>60</v>
      </c>
      <c r="B77" s="8"/>
      <c r="C77" s="13"/>
      <c r="D77" s="14"/>
      <c r="E77" s="112" t="s">
        <v>60</v>
      </c>
      <c r="F77" s="195"/>
      <c r="G77" s="196"/>
      <c r="H77" s="197"/>
      <c r="I77" s="15"/>
    </row>
    <row r="78" spans="1:9" ht="13.2" hidden="1" x14ac:dyDescent="0.25">
      <c r="A78" s="22" t="s">
        <v>60</v>
      </c>
      <c r="B78" s="8"/>
      <c r="C78" s="13"/>
      <c r="D78" s="14"/>
      <c r="E78" s="112" t="s">
        <v>60</v>
      </c>
      <c r="F78" s="195"/>
      <c r="G78" s="196"/>
      <c r="H78" s="197"/>
      <c r="I78" s="15"/>
    </row>
    <row r="79" spans="1:9" ht="13.2" hidden="1" x14ac:dyDescent="0.25">
      <c r="A79" s="22" t="s">
        <v>60</v>
      </c>
      <c r="B79" s="8"/>
      <c r="C79" s="13"/>
      <c r="D79" s="14"/>
      <c r="E79" s="112" t="s">
        <v>60</v>
      </c>
      <c r="F79" s="195"/>
      <c r="G79" s="196"/>
      <c r="H79" s="197"/>
      <c r="I79" s="15"/>
    </row>
    <row r="80" spans="1:9" ht="13.2" hidden="1" x14ac:dyDescent="0.25">
      <c r="A80" s="22" t="s">
        <v>60</v>
      </c>
      <c r="B80" s="8"/>
      <c r="C80" s="13"/>
      <c r="D80" s="14"/>
      <c r="E80" s="112" t="s">
        <v>60</v>
      </c>
      <c r="F80" s="195"/>
      <c r="G80" s="196"/>
      <c r="H80" s="197"/>
      <c r="I80" s="15"/>
    </row>
    <row r="81" spans="1:9" ht="13.2" hidden="1" x14ac:dyDescent="0.25">
      <c r="A81" s="22" t="s">
        <v>60</v>
      </c>
      <c r="B81" s="8"/>
      <c r="C81" s="13"/>
      <c r="D81" s="14"/>
      <c r="E81" s="112" t="s">
        <v>60</v>
      </c>
      <c r="F81" s="195"/>
      <c r="G81" s="196"/>
      <c r="H81" s="197"/>
      <c r="I81" s="15"/>
    </row>
    <row r="82" spans="1:9" ht="13.2" hidden="1" x14ac:dyDescent="0.25">
      <c r="A82" s="22" t="s">
        <v>60</v>
      </c>
      <c r="B82" s="8"/>
      <c r="C82" s="13"/>
      <c r="D82" s="14"/>
      <c r="E82" s="112" t="s">
        <v>60</v>
      </c>
      <c r="F82" s="195"/>
      <c r="G82" s="196"/>
      <c r="H82" s="197"/>
      <c r="I82" s="15"/>
    </row>
    <row r="83" spans="1:9" ht="13.2" hidden="1" x14ac:dyDescent="0.25">
      <c r="A83" s="22" t="s">
        <v>60</v>
      </c>
      <c r="B83" s="8"/>
      <c r="C83" s="13"/>
      <c r="D83" s="14"/>
      <c r="E83" s="112" t="s">
        <v>60</v>
      </c>
      <c r="F83" s="195"/>
      <c r="G83" s="196"/>
      <c r="H83" s="197"/>
      <c r="I83" s="15"/>
    </row>
    <row r="84" spans="1:9" ht="13.2" hidden="1" x14ac:dyDescent="0.25">
      <c r="A84" s="22" t="s">
        <v>60</v>
      </c>
      <c r="B84" s="8"/>
      <c r="C84" s="13"/>
      <c r="D84" s="14"/>
      <c r="E84" s="112" t="s">
        <v>60</v>
      </c>
      <c r="F84" s="195"/>
      <c r="G84" s="196"/>
      <c r="H84" s="197"/>
      <c r="I84" s="15"/>
    </row>
    <row r="85" spans="1:9" ht="13.2" hidden="1" x14ac:dyDescent="0.25">
      <c r="A85" s="22" t="s">
        <v>60</v>
      </c>
      <c r="B85" s="8"/>
      <c r="C85" s="13"/>
      <c r="D85" s="14"/>
      <c r="E85" s="112" t="s">
        <v>60</v>
      </c>
      <c r="F85" s="195"/>
      <c r="G85" s="196"/>
      <c r="H85" s="197"/>
      <c r="I85" s="15"/>
    </row>
    <row r="86" spans="1:9" ht="13.2" hidden="1" x14ac:dyDescent="0.25">
      <c r="A86" s="22" t="s">
        <v>60</v>
      </c>
      <c r="B86" s="8"/>
      <c r="C86" s="13"/>
      <c r="D86" s="14"/>
      <c r="E86" s="112" t="s">
        <v>60</v>
      </c>
      <c r="F86" s="195"/>
      <c r="G86" s="196"/>
      <c r="H86" s="197"/>
      <c r="I86" s="15"/>
    </row>
    <row r="87" spans="1:9" ht="13.2" hidden="1" x14ac:dyDescent="0.25">
      <c r="A87" s="22" t="s">
        <v>60</v>
      </c>
      <c r="B87" s="8"/>
      <c r="C87" s="13"/>
      <c r="D87" s="14"/>
      <c r="E87" s="112" t="s">
        <v>60</v>
      </c>
      <c r="F87" s="195"/>
      <c r="G87" s="196"/>
      <c r="H87" s="197"/>
      <c r="I87" s="15"/>
    </row>
    <row r="88" spans="1:9" ht="13.2" hidden="1" x14ac:dyDescent="0.25">
      <c r="A88" s="22" t="s">
        <v>60</v>
      </c>
      <c r="B88" s="8"/>
      <c r="C88" s="13"/>
      <c r="D88" s="14"/>
      <c r="E88" s="112" t="s">
        <v>60</v>
      </c>
      <c r="F88" s="195"/>
      <c r="G88" s="196"/>
      <c r="H88" s="197"/>
      <c r="I88" s="15"/>
    </row>
    <row r="89" spans="1:9" ht="13.2" hidden="1" x14ac:dyDescent="0.25">
      <c r="A89" s="22" t="s">
        <v>60</v>
      </c>
      <c r="B89" s="8"/>
      <c r="C89" s="13"/>
      <c r="D89" s="14"/>
      <c r="E89" s="112" t="s">
        <v>60</v>
      </c>
      <c r="F89" s="195"/>
      <c r="G89" s="196"/>
      <c r="H89" s="197"/>
      <c r="I89" s="15"/>
    </row>
    <row r="90" spans="1:9" ht="13.2" hidden="1" x14ac:dyDescent="0.25">
      <c r="A90" s="22" t="s">
        <v>60</v>
      </c>
      <c r="B90" s="8"/>
      <c r="C90" s="13"/>
      <c r="D90" s="14"/>
      <c r="E90" s="112" t="s">
        <v>60</v>
      </c>
      <c r="F90" s="195"/>
      <c r="G90" s="196"/>
      <c r="H90" s="197"/>
      <c r="I90" s="15"/>
    </row>
    <row r="91" spans="1:9" ht="13.2" hidden="1" x14ac:dyDescent="0.25">
      <c r="A91" s="22" t="s">
        <v>60</v>
      </c>
      <c r="B91" s="8"/>
      <c r="C91" s="13"/>
      <c r="D91" s="14"/>
      <c r="E91" s="112" t="s">
        <v>60</v>
      </c>
      <c r="F91" s="195"/>
      <c r="G91" s="196"/>
      <c r="H91" s="197"/>
      <c r="I91" s="15"/>
    </row>
    <row r="92" spans="1:9" ht="13.2" hidden="1" x14ac:dyDescent="0.25">
      <c r="A92" s="22" t="s">
        <v>60</v>
      </c>
      <c r="B92" s="8"/>
      <c r="C92" s="13"/>
      <c r="D92" s="14"/>
      <c r="E92" s="112" t="s">
        <v>60</v>
      </c>
      <c r="F92" s="195"/>
      <c r="G92" s="196"/>
      <c r="H92" s="197"/>
      <c r="I92" s="15"/>
    </row>
    <row r="93" spans="1:9" ht="13.2" hidden="1" x14ac:dyDescent="0.25">
      <c r="A93" s="22" t="s">
        <v>60</v>
      </c>
      <c r="B93" s="8"/>
      <c r="C93" s="13"/>
      <c r="D93" s="14"/>
      <c r="E93" s="112" t="s">
        <v>60</v>
      </c>
      <c r="F93" s="195"/>
      <c r="G93" s="196"/>
      <c r="H93" s="197"/>
      <c r="I93" s="15"/>
    </row>
    <row r="94" spans="1:9" ht="13.2" hidden="1" x14ac:dyDescent="0.25">
      <c r="A94" s="22" t="s">
        <v>60</v>
      </c>
      <c r="B94" s="8"/>
      <c r="C94" s="13"/>
      <c r="D94" s="14"/>
      <c r="E94" s="112" t="s">
        <v>60</v>
      </c>
      <c r="F94" s="195"/>
      <c r="G94" s="196"/>
      <c r="H94" s="197"/>
      <c r="I94" s="15"/>
    </row>
    <row r="95" spans="1:9" ht="13.2" hidden="1" x14ac:dyDescent="0.25">
      <c r="A95" s="22" t="s">
        <v>60</v>
      </c>
      <c r="B95" s="8"/>
      <c r="C95" s="13"/>
      <c r="D95" s="14"/>
      <c r="E95" s="112" t="s">
        <v>60</v>
      </c>
      <c r="F95" s="195"/>
      <c r="G95" s="196"/>
      <c r="H95" s="197"/>
      <c r="I95" s="15"/>
    </row>
    <row r="96" spans="1:9" ht="13.2" hidden="1" x14ac:dyDescent="0.25">
      <c r="A96" s="22" t="s">
        <v>60</v>
      </c>
      <c r="B96" s="8"/>
      <c r="C96" s="13"/>
      <c r="D96" s="14"/>
      <c r="E96" s="112" t="s">
        <v>60</v>
      </c>
      <c r="F96" s="195"/>
      <c r="G96" s="196"/>
      <c r="H96" s="197"/>
      <c r="I96" s="15"/>
    </row>
    <row r="97" spans="1:15" ht="13.2" hidden="1" x14ac:dyDescent="0.25">
      <c r="A97" s="22" t="s">
        <v>60</v>
      </c>
      <c r="B97" s="8"/>
      <c r="C97" s="13"/>
      <c r="D97" s="14"/>
      <c r="E97" s="112" t="s">
        <v>60</v>
      </c>
      <c r="F97" s="195"/>
      <c r="G97" s="196"/>
      <c r="H97" s="197"/>
      <c r="I97" s="15"/>
    </row>
    <row r="98" spans="1:15" ht="13.2" hidden="1" x14ac:dyDescent="0.25">
      <c r="A98" s="22" t="s">
        <v>60</v>
      </c>
      <c r="B98" s="8"/>
      <c r="C98" s="13"/>
      <c r="D98" s="14"/>
      <c r="E98" s="112" t="s">
        <v>60</v>
      </c>
      <c r="F98" s="195"/>
      <c r="G98" s="196"/>
      <c r="H98" s="197"/>
      <c r="I98" s="15"/>
    </row>
    <row r="99" spans="1:15" ht="13.2" hidden="1" x14ac:dyDescent="0.25">
      <c r="A99" s="22" t="s">
        <v>60</v>
      </c>
      <c r="B99" s="8"/>
      <c r="C99" s="13"/>
      <c r="D99" s="14"/>
      <c r="E99" s="112" t="s">
        <v>60</v>
      </c>
      <c r="F99" s="195"/>
      <c r="G99" s="196"/>
      <c r="H99" s="197"/>
      <c r="I99" s="15"/>
    </row>
    <row r="100" spans="1:15" ht="13.8" thickBot="1" x14ac:dyDescent="0.3">
      <c r="A100" s="6" t="s">
        <v>60</v>
      </c>
      <c r="B100" s="8"/>
      <c r="C100" s="13"/>
      <c r="D100" s="8"/>
      <c r="E100" s="113" t="s">
        <v>67</v>
      </c>
      <c r="F100" s="180">
        <f>G56-SUM(F64:H99)</f>
        <v>0</v>
      </c>
      <c r="G100" s="180"/>
      <c r="H100" s="180"/>
      <c r="I100" s="15"/>
    </row>
    <row r="101" spans="1:15" ht="13.8" thickBot="1" x14ac:dyDescent="0.3">
      <c r="A101" s="6" t="s">
        <v>65</v>
      </c>
      <c r="B101" s="8"/>
      <c r="C101" s="13"/>
      <c r="D101" s="8"/>
      <c r="E101" s="121" t="s">
        <v>21</v>
      </c>
      <c r="F101" s="177">
        <f>SUM(F64:H100)</f>
        <v>0</v>
      </c>
      <c r="G101" s="178"/>
      <c r="H101" s="179"/>
    </row>
    <row r="102" spans="1:15" ht="13.8" thickBot="1" x14ac:dyDescent="0.3">
      <c r="A102" s="8" t="s">
        <v>66</v>
      </c>
      <c r="B102" s="8"/>
      <c r="C102" s="9">
        <f>IFERROR(IF(G35&gt;0,ROUND(T60-SUM(C59:C101)-V43,0),ROUND(T60-H38-SUM(C59:C101),0)),0)</f>
        <v>0</v>
      </c>
      <c r="D102" s="8"/>
      <c r="E102" s="8"/>
      <c r="F102" s="8"/>
      <c r="G102" s="8"/>
      <c r="H102" s="8"/>
    </row>
    <row r="103" spans="1:15" ht="13.8" thickBot="1" x14ac:dyDescent="0.3">
      <c r="A103" s="11" t="s">
        <v>68</v>
      </c>
      <c r="B103" s="8"/>
      <c r="C103" s="12">
        <f>SUM(C59:C102)</f>
        <v>0</v>
      </c>
      <c r="D103" s="8"/>
      <c r="E103" s="8"/>
      <c r="F103" s="8"/>
      <c r="G103" s="8"/>
      <c r="H103" s="8"/>
    </row>
    <row r="104" spans="1:15" s="8" customFormat="1" ht="13.2" x14ac:dyDescent="0.25">
      <c r="J104" s="19"/>
      <c r="K104" s="19"/>
      <c r="L104" s="19"/>
      <c r="M104" s="19"/>
      <c r="N104" s="19"/>
      <c r="O104" s="19"/>
    </row>
    <row r="105" spans="1:15" ht="13.2" hidden="1" x14ac:dyDescent="0.25"/>
    <row r="106" spans="1:15" ht="13.2" hidden="1" x14ac:dyDescent="0.25"/>
    <row r="107" spans="1:15" ht="13.2" hidden="1" x14ac:dyDescent="0.25"/>
    <row r="108" spans="1:15" ht="13.2" hidden="1" x14ac:dyDescent="0.25"/>
    <row r="109" spans="1:15" ht="13.2" hidden="1" x14ac:dyDescent="0.25"/>
    <row r="110" spans="1:15" ht="13.2" hidden="1" x14ac:dyDescent="0.25"/>
    <row r="111" spans="1:15" ht="13.2" hidden="1" x14ac:dyDescent="0.25"/>
  </sheetData>
  <sheetProtection algorithmName="SHA-512" hashValue="0HO3PwgNdaF3MktMRV8BwYx6q+HdIc/XrYGY6HsM8d0el53WtumGK1qEqpHI3pYPrDGKn4g220z9ezi7HzKweQ==" saltValue="c62QRmCrHkXxi3SotGLwOw==" spinCount="100000" sheet="1" objects="1" scenarios="1" formatColumns="0" formatRows="0" insertColumns="0" insertRows="0" selectLockedCells="1"/>
  <mergeCells count="79">
    <mergeCell ref="F99:H99"/>
    <mergeCell ref="F100:H100"/>
    <mergeCell ref="F101:H101"/>
    <mergeCell ref="F93:H93"/>
    <mergeCell ref="F94:H94"/>
    <mergeCell ref="F95:H95"/>
    <mergeCell ref="F96:H96"/>
    <mergeCell ref="F97:H97"/>
    <mergeCell ref="F98:H98"/>
    <mergeCell ref="F92:H92"/>
    <mergeCell ref="F81:H81"/>
    <mergeCell ref="F82:H82"/>
    <mergeCell ref="F83:H83"/>
    <mergeCell ref="F84:H84"/>
    <mergeCell ref="F85:H85"/>
    <mergeCell ref="F86:H86"/>
    <mergeCell ref="F87:H87"/>
    <mergeCell ref="F88:H88"/>
    <mergeCell ref="F89:H89"/>
    <mergeCell ref="F90:H90"/>
    <mergeCell ref="F91:H91"/>
    <mergeCell ref="F80:H80"/>
    <mergeCell ref="F69:H69"/>
    <mergeCell ref="F70:H70"/>
    <mergeCell ref="F71:H71"/>
    <mergeCell ref="F72:H72"/>
    <mergeCell ref="F73:H73"/>
    <mergeCell ref="F74:H74"/>
    <mergeCell ref="F75:H75"/>
    <mergeCell ref="F76:H76"/>
    <mergeCell ref="F77:H77"/>
    <mergeCell ref="F78:H78"/>
    <mergeCell ref="F79:H79"/>
    <mergeCell ref="F68:H68"/>
    <mergeCell ref="K42:O45"/>
    <mergeCell ref="E53:F54"/>
    <mergeCell ref="G53:G54"/>
    <mergeCell ref="E58:H59"/>
    <mergeCell ref="K58:O62"/>
    <mergeCell ref="D60:H61"/>
    <mergeCell ref="E63:H63"/>
    <mergeCell ref="F64:H64"/>
    <mergeCell ref="F65:H65"/>
    <mergeCell ref="F66:H66"/>
    <mergeCell ref="F67:H67"/>
    <mergeCell ref="K28:O30"/>
    <mergeCell ref="K31:O32"/>
    <mergeCell ref="B33:C33"/>
    <mergeCell ref="B34:C34"/>
    <mergeCell ref="B35:C35"/>
    <mergeCell ref="F28:G29"/>
    <mergeCell ref="H28:H29"/>
    <mergeCell ref="B36:C36"/>
    <mergeCell ref="E36:H36"/>
    <mergeCell ref="K36:O40"/>
    <mergeCell ref="B37:C37"/>
    <mergeCell ref="A39:C39"/>
    <mergeCell ref="B7:D7"/>
    <mergeCell ref="B8:I8"/>
    <mergeCell ref="K12:O15"/>
    <mergeCell ref="B15:D15"/>
    <mergeCell ref="F15:H15"/>
    <mergeCell ref="B16:B17"/>
    <mergeCell ref="C16:D16"/>
    <mergeCell ref="F16:F17"/>
    <mergeCell ref="G16:H16"/>
    <mergeCell ref="K16:O26"/>
    <mergeCell ref="C23:D23"/>
    <mergeCell ref="G23:H23"/>
    <mergeCell ref="C24:E24"/>
    <mergeCell ref="F25:G26"/>
    <mergeCell ref="H25:H26"/>
    <mergeCell ref="C2:D2"/>
    <mergeCell ref="B5:D5"/>
    <mergeCell ref="F5:G5"/>
    <mergeCell ref="H5:I5"/>
    <mergeCell ref="B6:D6"/>
    <mergeCell ref="F6:G6"/>
    <mergeCell ref="H6:I6"/>
  </mergeCells>
  <conditionalFormatting sqref="A38:H38">
    <cfRule type="cellIs" dxfId="63" priority="5" operator="equal">
      <formula>$D$38&lt;&gt;"Lesuren"</formula>
    </cfRule>
  </conditionalFormatting>
  <conditionalFormatting sqref="B38">
    <cfRule type="cellIs" dxfId="62" priority="14" operator="equal">
      <formula>$A$38&lt;&gt;"Aantal uur verlof"</formula>
    </cfRule>
    <cfRule type="cellIs" dxfId="61" priority="15" operator="equal">
      <formula>""""""</formula>
    </cfRule>
    <cfRule type="cellIs" dxfId="60" priority="16" operator="between">
      <formula>1</formula>
      <formula>500</formula>
    </cfRule>
    <cfRule type="expression" dxfId="59" priority="1">
      <formula>$A$38&lt;&gt;""</formula>
    </cfRule>
  </conditionalFormatting>
  <conditionalFormatting sqref="B37:C37">
    <cfRule type="containsText" dxfId="58" priority="17" operator="containsText" text="e">
      <formula>NOT(ISERROR(SEARCH("e",B37)))</formula>
    </cfRule>
    <cfRule type="cellIs" dxfId="57" priority="18" operator="equal">
      <formula>$A$37&lt;&gt;"Recht duurzame inzetbaarheid"</formula>
    </cfRule>
    <cfRule type="expression" dxfId="40" priority="2">
      <formula>$A$37&lt;&gt;""</formula>
    </cfRule>
  </conditionalFormatting>
  <conditionalFormatting sqref="B37:H37">
    <cfRule type="cellIs" dxfId="56" priority="4" operator="equal">
      <formula>$D$38&lt;&gt;"Lesuren"</formula>
    </cfRule>
  </conditionalFormatting>
  <conditionalFormatting sqref="C53:C55">
    <cfRule type="cellIs" dxfId="55" priority="9" operator="equal">
      <formula>$D$53&lt;&gt;"Niet toegestaan"</formula>
    </cfRule>
  </conditionalFormatting>
  <conditionalFormatting sqref="F38">
    <cfRule type="cellIs" dxfId="54" priority="13" operator="equal">
      <formula>$F$37&lt;&gt;"Lesuren"</formula>
    </cfRule>
  </conditionalFormatting>
  <conditionalFormatting sqref="F100">
    <cfRule type="cellIs" dxfId="53" priority="3" operator="lessThan">
      <formula>0</formula>
    </cfRule>
  </conditionalFormatting>
  <conditionalFormatting sqref="F38:H38">
    <cfRule type="cellIs" dxfId="52" priority="10" operator="greaterThan">
      <formula>0</formula>
    </cfRule>
  </conditionalFormatting>
  <conditionalFormatting sqref="G34">
    <cfRule type="cellIs" dxfId="51" priority="19" operator="equal">
      <formula>$B$34&lt;&gt;"Ja"</formula>
    </cfRule>
    <cfRule type="cellIs" dxfId="50" priority="20" operator="between">
      <formula>1</formula>
      <formula>1300</formula>
    </cfRule>
  </conditionalFormatting>
  <conditionalFormatting sqref="G35">
    <cfRule type="cellIs" dxfId="49" priority="21" operator="equal">
      <formula>$B$35&lt;&gt;"Ja"</formula>
    </cfRule>
    <cfRule type="cellIs" dxfId="48" priority="22" operator="between">
      <formula>0.0001</formula>
      <formula>2</formula>
    </cfRule>
  </conditionalFormatting>
  <conditionalFormatting sqref="G38">
    <cfRule type="cellIs" dxfId="47" priority="12" operator="equal">
      <formula>$G$37&lt;&gt;"v/n-werk"</formula>
    </cfRule>
  </conditionalFormatting>
  <conditionalFormatting sqref="G39">
    <cfRule type="containsText" dxfId="46" priority="6" operator="containsText" text="Taakuren">
      <formula>NOT(ISERROR(SEARCH("Taakuren",G39)))</formula>
    </cfRule>
  </conditionalFormatting>
  <conditionalFormatting sqref="G40">
    <cfRule type="containsText" dxfId="45" priority="7" operator="containsText" text="Duurz. Inz.">
      <formula>NOT(ISERROR(SEARCH("Duurz. Inz.",G40)))</formula>
    </cfRule>
  </conditionalFormatting>
  <conditionalFormatting sqref="H24">
    <cfRule type="containsText" dxfId="44" priority="8" operator="containsText" text="u">
      <formula>NOT(ISERROR(SEARCH("u",#REF!)))</formula>
    </cfRule>
  </conditionalFormatting>
  <conditionalFormatting sqref="H25:H26">
    <cfRule type="containsText" dxfId="43" priority="23" operator="containsText" text="u">
      <formula>NOT(ISERROR(SEARCH("u",H25)))</formula>
    </cfRule>
    <cfRule type="cellIs" dxfId="42" priority="24" operator="equal">
      <formula>$E$34&lt;&gt;"Lesuren"</formula>
    </cfRule>
  </conditionalFormatting>
  <conditionalFormatting sqref="H38">
    <cfRule type="cellIs" dxfId="41" priority="11" operator="equal">
      <formula>$H$37&lt;&gt;"Taakuren"</formula>
    </cfRule>
  </conditionalFormatting>
  <dataValidations count="8">
    <dataValidation type="whole" allowBlank="1" showInputMessage="1" showErrorMessage="1" errorTitle="Foutieve invoer" error="Het aantal uur verlof past niet binnen uw budget" sqref="B38" xr:uid="{A0953F04-D5CA-4D86-B406-06BDC53A3B9E}">
      <formula1>0</formula1>
      <formula2>IF(B37="Overgangsregeling 56+",ROUND(340*LEFT(H28,2)/40,0),IF(B37="Overgangsregeling 52+",ROUND(170*LEFT(H28,2)/40,0),IF(B37="Basis en bijzonder budget",ROUND(170*LEFT(H28,2)/40,0),"")))</formula2>
    </dataValidation>
    <dataValidation allowBlank="1" showInputMessage="1" showErrorMessage="1" errorTitle="Ongeldige invoer" error="Het aantal ingevulde uren verlof overstijgt het totaal aantal uren voor- en nawerk. Kies voor een lager aantal uur verlof." sqref="G39" xr:uid="{DB1DAA46-C7AC-45E6-A803-C61688CB15B3}"/>
    <dataValidation type="list" allowBlank="1" showInputMessage="1" showErrorMessage="1" sqref="B34:B35 B33:C33" xr:uid="{66B14D47-68F8-42F6-B9A9-1B4480703814}">
      <formula1>"Ja,Nee"</formula1>
    </dataValidation>
    <dataValidation type="whole" allowBlank="1" showInputMessage="1" showErrorMessage="1" errorTitle="Ongeldige invoer" error="Het ingevulde aantal uur verlof overstijgt het beschikbare aantal taakuren. Kies voor een lager aantal uren verlof." sqref="H38:H39" xr:uid="{1B2E41B0-DB21-4560-97C9-361422A2E6A0}">
      <formula1>0</formula1>
      <formula2>T60</formula2>
    </dataValidation>
    <dataValidation type="whole" allowBlank="1" showInputMessage="1" showErrorMessage="1" errorTitle="Ongeldige invoer" error="Het aantal ingevulde uren verlof overstijgt het totaal aantal uren voor- en nawerk. Kies voor een lager aantal uur verlof." sqref="G38" xr:uid="{9C6BCD31-D935-4AA1-8EE5-0AEF96493ED4}">
      <formula1>0</formula1>
      <formula2>T59</formula2>
    </dataValidation>
    <dataValidation type="whole" allowBlank="1" showInputMessage="1" showErrorMessage="1" errorTitle="Ongeldige invoer" error="Het ingevulde aantal uur verlof overstijgt het totaal aantal lesuren. Kies voor een lager aantal uur verlof." sqref="F38:F39" xr:uid="{E4B102B4-6909-4EB9-B62C-1DE1ABF6E52C}">
      <formula1>0</formula1>
      <formula2>T58</formula2>
    </dataValidation>
    <dataValidation type="whole" errorStyle="warning" operator="equal" allowBlank="1" showInputMessage="1" showErrorMessage="1" errorTitle="Let op:" error="Aantal uren wijkt af van het bepaalde schoolrooster" sqref="I18:I22" xr:uid="{4A9F5791-453C-4E2E-8EA4-AF492A0B37F6}">
      <formula1>E18</formula1>
    </dataValidation>
    <dataValidation type="list" allowBlank="1" showInputMessage="1" showErrorMessage="1" sqref="B37:C37" xr:uid="{4D15F573-6BAA-47C3-9E8A-8773EDD44CC1}">
      <formula1>$T$27:$T$29</formula1>
    </dataValidation>
  </dataValidation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6"/>
  <dimension ref="A1:Y88"/>
  <sheetViews>
    <sheetView topLeftCell="A10" zoomScaleNormal="100" workbookViewId="0">
      <selection activeCell="C26" sqref="C26:D26"/>
    </sheetView>
  </sheetViews>
  <sheetFormatPr defaultColWidth="0" defaultRowHeight="0" customHeight="1" zeroHeight="1" x14ac:dyDescent="0.25"/>
  <cols>
    <col min="1" max="1" width="12.33203125" customWidth="1"/>
    <col min="2" max="3" width="14.33203125" customWidth="1"/>
    <col min="4" max="4" width="13.6640625" customWidth="1"/>
    <col min="5" max="6" width="14.33203125" customWidth="1"/>
    <col min="7" max="7" width="14.44140625" customWidth="1"/>
    <col min="8" max="8" width="2.6640625" style="8" customWidth="1"/>
    <col min="9" max="9" width="2" style="19" customWidth="1"/>
    <col min="10" max="14" width="13.6640625" style="10" customWidth="1"/>
    <col min="15" max="16" width="13.6640625" style="8" hidden="1" customWidth="1"/>
    <col min="17" max="17" width="10.33203125" hidden="1" customWidth="1"/>
    <col min="18" max="19" width="9.44140625" hidden="1" customWidth="1"/>
    <col min="20" max="20" width="10.33203125" hidden="1" customWidth="1"/>
    <col min="21" max="21" width="9.44140625" hidden="1" customWidth="1"/>
    <col min="22" max="16384" width="9.33203125" hidden="1"/>
  </cols>
  <sheetData>
    <row r="1" spans="1:25" ht="13.2" x14ac:dyDescent="0.25">
      <c r="A1" s="84" t="str">
        <f>'wtf OP, obv dagdelen onderbouw'!A1</f>
        <v>Versie mei 2026</v>
      </c>
      <c r="B1" s="8"/>
      <c r="C1" s="8"/>
      <c r="D1" s="8"/>
      <c r="E1" s="8"/>
      <c r="F1" s="8"/>
      <c r="G1" s="8"/>
      <c r="Q1" s="41">
        <f ca="1">NOW()</f>
        <v>46162.706715856482</v>
      </c>
      <c r="X1">
        <v>18</v>
      </c>
      <c r="Y1">
        <v>24</v>
      </c>
    </row>
    <row r="2" spans="1:25" ht="17.399999999999999" x14ac:dyDescent="0.3">
      <c r="A2" s="107" t="s">
        <v>85</v>
      </c>
      <c r="B2" s="8"/>
      <c r="C2" s="8"/>
      <c r="D2" s="151" t="str">
        <f>'wtf OP, obv lesuren'!D2</f>
        <v>2026-2027</v>
      </c>
      <c r="E2" s="152"/>
      <c r="F2" s="8"/>
      <c r="G2" s="8"/>
      <c r="J2" s="19"/>
      <c r="K2" s="19"/>
      <c r="L2" s="19"/>
      <c r="M2" s="19"/>
      <c r="N2" s="19"/>
      <c r="T2" s="24"/>
      <c r="X2">
        <v>19</v>
      </c>
      <c r="Y2">
        <v>16</v>
      </c>
    </row>
    <row r="3" spans="1:25" ht="13.2" x14ac:dyDescent="0.25">
      <c r="A3" s="8"/>
      <c r="B3" s="8"/>
      <c r="C3" s="8"/>
      <c r="D3" s="8"/>
      <c r="E3" s="8"/>
      <c r="F3" s="8"/>
      <c r="G3" s="8"/>
      <c r="J3" s="19"/>
      <c r="K3" s="19"/>
      <c r="L3" s="19"/>
      <c r="M3" s="19"/>
      <c r="N3" s="19"/>
      <c r="X3">
        <v>20</v>
      </c>
      <c r="Y3">
        <v>8</v>
      </c>
    </row>
    <row r="4" spans="1:25" ht="13.2" x14ac:dyDescent="0.25">
      <c r="A4" s="25" t="s">
        <v>1</v>
      </c>
      <c r="B4" s="8"/>
      <c r="C4" s="8"/>
      <c r="D4" s="8"/>
      <c r="E4" s="25" t="s">
        <v>2</v>
      </c>
      <c r="F4" s="8"/>
      <c r="G4" s="8"/>
      <c r="J4" s="19"/>
      <c r="K4" s="19"/>
      <c r="L4" s="19"/>
      <c r="M4" s="19"/>
      <c r="N4" s="19"/>
      <c r="X4">
        <v>21</v>
      </c>
      <c r="Y4">
        <v>0</v>
      </c>
    </row>
    <row r="5" spans="1:25" ht="13.2" x14ac:dyDescent="0.25">
      <c r="A5" s="8" t="s">
        <v>3</v>
      </c>
      <c r="B5" s="153"/>
      <c r="C5" s="153"/>
      <c r="D5" s="153"/>
      <c r="E5" s="8" t="s">
        <v>4</v>
      </c>
      <c r="F5" s="153"/>
      <c r="G5" s="153"/>
      <c r="J5" s="19"/>
      <c r="K5" s="19"/>
      <c r="L5" s="19"/>
      <c r="M5" s="19"/>
      <c r="N5" s="19"/>
      <c r="X5">
        <v>22</v>
      </c>
      <c r="Y5">
        <v>0</v>
      </c>
    </row>
    <row r="6" spans="1:25" ht="13.2" x14ac:dyDescent="0.25">
      <c r="A6" s="8" t="s">
        <v>5</v>
      </c>
      <c r="B6" s="153"/>
      <c r="C6" s="153"/>
      <c r="D6" s="153"/>
      <c r="E6" s="8" t="s">
        <v>6</v>
      </c>
      <c r="F6" s="153"/>
      <c r="G6" s="153"/>
      <c r="J6" s="19"/>
      <c r="K6" s="19"/>
      <c r="L6" s="19"/>
      <c r="M6" s="19"/>
      <c r="N6" s="19"/>
      <c r="X6">
        <v>23</v>
      </c>
      <c r="Y6">
        <v>0</v>
      </c>
    </row>
    <row r="7" spans="1:25" ht="13.2" x14ac:dyDescent="0.25">
      <c r="A7" s="8" t="s">
        <v>7</v>
      </c>
      <c r="B7" s="154"/>
      <c r="C7" s="153"/>
      <c r="D7" s="153"/>
      <c r="E7" s="8"/>
      <c r="F7" s="8"/>
      <c r="G7" s="8"/>
      <c r="J7" s="19"/>
      <c r="K7" s="19"/>
      <c r="L7" s="19"/>
      <c r="M7" s="19"/>
      <c r="N7" s="19"/>
      <c r="X7">
        <v>24</v>
      </c>
      <c r="Y7">
        <v>0</v>
      </c>
    </row>
    <row r="8" spans="1:25" ht="13.2" x14ac:dyDescent="0.25">
      <c r="A8" s="8" t="s">
        <v>70</v>
      </c>
      <c r="B8" s="186"/>
      <c r="C8" s="186"/>
      <c r="D8" s="186"/>
      <c r="E8" s="186"/>
      <c r="F8" s="186"/>
      <c r="G8" s="186"/>
      <c r="H8" s="186"/>
      <c r="J8" s="19"/>
      <c r="K8" s="19"/>
      <c r="L8" s="19"/>
      <c r="M8" s="19"/>
      <c r="N8" s="19"/>
      <c r="X8">
        <v>25</v>
      </c>
      <c r="Y8">
        <v>0</v>
      </c>
    </row>
    <row r="9" spans="1:25" ht="13.8" thickBot="1" x14ac:dyDescent="0.3">
      <c r="A9" s="27"/>
      <c r="B9" s="27"/>
      <c r="C9" s="27"/>
      <c r="D9" s="27"/>
      <c r="E9" s="27"/>
      <c r="F9" s="27"/>
      <c r="G9" s="27"/>
      <c r="H9" s="27"/>
      <c r="I9" s="28"/>
      <c r="J9" s="71" t="s">
        <v>10</v>
      </c>
      <c r="K9" s="28"/>
      <c r="L9" s="28"/>
      <c r="M9" s="28"/>
      <c r="N9" s="28"/>
      <c r="X9">
        <v>26</v>
      </c>
      <c r="Y9">
        <v>0</v>
      </c>
    </row>
    <row r="10" spans="1:25" ht="12.75" customHeight="1" x14ac:dyDescent="0.25">
      <c r="A10" s="8"/>
      <c r="B10" s="8"/>
      <c r="C10" s="8"/>
      <c r="D10" s="8"/>
      <c r="E10" s="8"/>
      <c r="F10" s="8"/>
      <c r="G10" s="8"/>
      <c r="J10" s="155" t="s">
        <v>86</v>
      </c>
      <c r="K10" s="155"/>
      <c r="L10" s="155"/>
      <c r="M10" s="155"/>
      <c r="N10" s="155"/>
      <c r="O10" s="29"/>
      <c r="P10" s="29"/>
      <c r="X10">
        <v>27</v>
      </c>
      <c r="Y10">
        <v>0</v>
      </c>
    </row>
    <row r="11" spans="1:25" ht="13.2" x14ac:dyDescent="0.25">
      <c r="A11" s="16"/>
      <c r="B11" s="156" t="s">
        <v>87</v>
      </c>
      <c r="C11" s="156"/>
      <c r="E11" s="156" t="s">
        <v>88</v>
      </c>
      <c r="F11" s="156"/>
      <c r="G11" s="156"/>
      <c r="J11" s="147"/>
      <c r="K11" s="147"/>
      <c r="L11" s="147"/>
      <c r="M11" s="147"/>
      <c r="N11" s="147"/>
      <c r="O11" s="29"/>
      <c r="P11" s="29"/>
      <c r="X11">
        <v>28</v>
      </c>
      <c r="Y11">
        <v>0</v>
      </c>
    </row>
    <row r="12" spans="1:25" ht="12.75" customHeight="1" x14ac:dyDescent="0.25">
      <c r="A12" s="30"/>
      <c r="B12" s="31" t="s">
        <v>13</v>
      </c>
      <c r="C12" s="31" t="s">
        <v>14</v>
      </c>
      <c r="D12" s="8"/>
      <c r="E12" s="31" t="s">
        <v>89</v>
      </c>
      <c r="F12" s="31" t="s">
        <v>90</v>
      </c>
      <c r="G12" s="31" t="s">
        <v>21</v>
      </c>
      <c r="H12" s="31"/>
      <c r="I12" s="33"/>
      <c r="J12" s="147"/>
      <c r="K12" s="147"/>
      <c r="L12" s="147"/>
      <c r="M12" s="147"/>
      <c r="N12" s="147"/>
      <c r="O12" s="29"/>
      <c r="P12" s="29"/>
      <c r="X12">
        <v>29</v>
      </c>
      <c r="Y12">
        <v>0</v>
      </c>
    </row>
    <row r="13" spans="1:25" ht="12.75" customHeight="1" x14ac:dyDescent="0.25">
      <c r="A13" s="8" t="s">
        <v>15</v>
      </c>
      <c r="B13" s="1"/>
      <c r="C13" s="2"/>
      <c r="D13" s="8"/>
      <c r="E13" s="1"/>
      <c r="F13" s="2"/>
      <c r="G13" s="20">
        <f>E13*F13</f>
        <v>0</v>
      </c>
      <c r="H13" s="34"/>
      <c r="I13" s="35"/>
      <c r="J13" s="147"/>
      <c r="K13" s="147"/>
      <c r="L13" s="147"/>
      <c r="M13" s="147"/>
      <c r="N13" s="147"/>
      <c r="O13" s="29"/>
      <c r="P13" s="29"/>
      <c r="X13">
        <v>30</v>
      </c>
      <c r="Y13">
        <v>8</v>
      </c>
    </row>
    <row r="14" spans="1:25" ht="13.2" x14ac:dyDescent="0.25">
      <c r="A14" s="8" t="s">
        <v>16</v>
      </c>
      <c r="B14" s="1"/>
      <c r="C14" s="2"/>
      <c r="D14" s="8"/>
      <c r="E14" s="1"/>
      <c r="F14" s="2"/>
      <c r="G14" s="20">
        <f t="shared" ref="G14:G17" si="0">E14*F14</f>
        <v>0</v>
      </c>
      <c r="H14" s="34"/>
      <c r="I14" s="35"/>
      <c r="J14" s="147"/>
      <c r="K14" s="147"/>
      <c r="L14" s="147"/>
      <c r="M14" s="147"/>
      <c r="N14" s="147"/>
      <c r="O14" s="29"/>
      <c r="P14" s="29"/>
      <c r="X14">
        <v>31</v>
      </c>
      <c r="Y14">
        <v>8</v>
      </c>
    </row>
    <row r="15" spans="1:25" ht="12.75" customHeight="1" x14ac:dyDescent="0.25">
      <c r="A15" s="8" t="s">
        <v>17</v>
      </c>
      <c r="B15" s="1"/>
      <c r="C15" s="2"/>
      <c r="D15" s="8"/>
      <c r="E15" s="1"/>
      <c r="F15" s="2"/>
      <c r="G15" s="20">
        <f t="shared" si="0"/>
        <v>0</v>
      </c>
      <c r="H15" s="34"/>
      <c r="I15" s="35"/>
      <c r="J15" s="147"/>
      <c r="K15" s="147"/>
      <c r="L15" s="147"/>
      <c r="M15" s="147"/>
      <c r="N15" s="147"/>
      <c r="O15" s="29"/>
      <c r="P15" s="29"/>
      <c r="X15">
        <v>32</v>
      </c>
      <c r="Y15">
        <v>8</v>
      </c>
    </row>
    <row r="16" spans="1:25" ht="12.75" customHeight="1" x14ac:dyDescent="0.25">
      <c r="A16" s="8" t="s">
        <v>19</v>
      </c>
      <c r="B16" s="1"/>
      <c r="C16" s="2"/>
      <c r="D16" s="8"/>
      <c r="E16" s="1"/>
      <c r="F16" s="2"/>
      <c r="G16" s="20">
        <f t="shared" si="0"/>
        <v>0</v>
      </c>
      <c r="H16" s="34"/>
      <c r="I16" s="35"/>
      <c r="J16" s="147" t="s">
        <v>91</v>
      </c>
      <c r="K16" s="147"/>
      <c r="L16" s="147"/>
      <c r="M16" s="147"/>
      <c r="N16" s="147"/>
      <c r="O16" s="29"/>
      <c r="P16" s="29"/>
      <c r="R16" s="109" t="s">
        <v>92</v>
      </c>
      <c r="S16">
        <f ca="1">YEAR(Q1)-YEAR(C26)</f>
        <v>126</v>
      </c>
      <c r="X16">
        <v>33</v>
      </c>
      <c r="Y16">
        <v>8</v>
      </c>
    </row>
    <row r="17" spans="1:25" ht="12.75" customHeight="1" x14ac:dyDescent="0.25">
      <c r="A17" s="8" t="s">
        <v>20</v>
      </c>
      <c r="B17" s="1"/>
      <c r="C17" s="2"/>
      <c r="D17" s="8"/>
      <c r="E17" s="1"/>
      <c r="F17" s="2"/>
      <c r="G17" s="20">
        <f t="shared" si="0"/>
        <v>0</v>
      </c>
      <c r="H17" s="34"/>
      <c r="I17" s="35"/>
      <c r="J17" s="147"/>
      <c r="K17" s="147"/>
      <c r="L17" s="147"/>
      <c r="M17" s="147"/>
      <c r="N17" s="147"/>
      <c r="O17" s="29"/>
      <c r="P17" s="29"/>
      <c r="X17">
        <v>34</v>
      </c>
      <c r="Y17">
        <v>8</v>
      </c>
    </row>
    <row r="18" spans="1:25" ht="13.2" x14ac:dyDescent="0.25">
      <c r="A18" s="11" t="s">
        <v>21</v>
      </c>
      <c r="B18" s="36">
        <f>SUM(B13:B17)</f>
        <v>0</v>
      </c>
      <c r="C18" s="36">
        <f>SUM(C13:C17)</f>
        <v>0</v>
      </c>
      <c r="D18" s="8"/>
      <c r="E18" s="36">
        <f>SUM(E13:E17)</f>
        <v>0</v>
      </c>
      <c r="F18" s="36">
        <f>SUM(F13:F17)</f>
        <v>0</v>
      </c>
      <c r="G18" s="36">
        <f>SUM(G13:G17)</f>
        <v>0</v>
      </c>
      <c r="H18" s="37"/>
      <c r="I18" s="38"/>
      <c r="J18" s="147"/>
      <c r="K18" s="147"/>
      <c r="L18" s="147"/>
      <c r="M18" s="147"/>
      <c r="N18" s="147"/>
      <c r="O18" s="29"/>
      <c r="P18" s="29"/>
      <c r="R18" s="129">
        <f ca="1">YEAR(NOW())-YEAR(C26)</f>
        <v>126</v>
      </c>
      <c r="S18">
        <f ca="1">YEAR(NOW())</f>
        <v>2026</v>
      </c>
      <c r="X18">
        <v>35</v>
      </c>
      <c r="Y18">
        <v>8</v>
      </c>
    </row>
    <row r="19" spans="1:25" ht="13.8" thickBot="1" x14ac:dyDescent="0.3">
      <c r="A19" s="11"/>
      <c r="B19" s="11"/>
      <c r="C19" s="11"/>
      <c r="D19" s="8"/>
      <c r="E19" s="8"/>
      <c r="F19" s="8"/>
      <c r="G19" s="11"/>
      <c r="H19" s="11"/>
      <c r="I19" s="39"/>
      <c r="J19" s="147"/>
      <c r="K19" s="147"/>
      <c r="L19" s="147"/>
      <c r="M19" s="147"/>
      <c r="N19" s="147"/>
      <c r="O19" s="29"/>
      <c r="R19" s="41">
        <v>21459</v>
      </c>
      <c r="S19" s="41">
        <f ca="1">DATE((S18-57),MONTH(C26),DAY(C26))</f>
        <v>25203</v>
      </c>
      <c r="X19">
        <v>36</v>
      </c>
      <c r="Y19">
        <v>8</v>
      </c>
    </row>
    <row r="20" spans="1:25" ht="13.5" customHeight="1" x14ac:dyDescent="0.25">
      <c r="A20" s="30"/>
      <c r="B20" s="148" t="s">
        <v>25</v>
      </c>
      <c r="C20" s="148"/>
      <c r="D20" s="183" t="str">
        <f>IFERROR(ROUND((C18+G18/41.475),0)&amp;" uur",0)</f>
        <v>0 uur</v>
      </c>
      <c r="E20" s="158" t="str">
        <f>IF(C28&gt;0,"Werktijdfactor exclusief verlof duurzame inzetbaarheid:",IF(G25&gt;0,"Werktijdfactor exclusief ouderschapsverlof:",""))</f>
        <v/>
      </c>
      <c r="F20" s="158"/>
      <c r="G20" s="157" t="str">
        <f>IF(C28&gt;0,FLOOR((LEFT(D20,2)/40-(G35/1659))*40,1)&amp;" uur"&amp;IF((ROUND(((LEFT(D20,2)/40-(G35/1659))*40-FLOOR((LEFT(D20,2)/40-(G35/1659))*40,1))*60,0))=0,""," en "&amp;ROUND(((LEFT(D20,2)/40-(G35/1659))*40-FLOOR((LEFT(D20,2)/40-(G35/1659))*40,1))*60,0)&amp;" minuten"),IF(G25&gt;0,FLOOR((LEFT(D20,2)/40-(G35/1659))*40,1)&amp;" uur"&amp;IF((ROUND(((LEFT(D20,2)/40-(G35/1659))*40-FLOOR((LEFT(D20,2)/40-(G35/1659))*40,1))*60,0))=0,""," en "&amp;ROUND(((LEFT(D20,2)/40-(G35/1659))*40-FLOOR((LEFT(D20,2)/40-(G35/1659))*40,1))*60,0)&amp;" minuten"),""))</f>
        <v/>
      </c>
      <c r="H20" s="11"/>
      <c r="I20" s="39"/>
      <c r="J20" s="147"/>
      <c r="K20" s="147"/>
      <c r="L20" s="147"/>
      <c r="M20" s="147"/>
      <c r="N20" s="147"/>
      <c r="O20" s="29"/>
      <c r="R20" s="41"/>
      <c r="S20" t="str">
        <f>IF(C26="","",IF(C26&lt;=R19,"Overgangsregeling 56+",IF(C26&lt;=S19,"Basis en bijzonder budget","")))</f>
        <v/>
      </c>
      <c r="X20">
        <v>37</v>
      </c>
      <c r="Y20">
        <v>8</v>
      </c>
    </row>
    <row r="21" spans="1:25" ht="12.75" customHeight="1" thickBot="1" x14ac:dyDescent="0.3">
      <c r="A21" s="8"/>
      <c r="B21" s="148"/>
      <c r="C21" s="148"/>
      <c r="D21" s="184"/>
      <c r="E21" s="158"/>
      <c r="F21" s="158"/>
      <c r="G21" s="157"/>
      <c r="H21" s="42"/>
      <c r="I21" s="43"/>
      <c r="J21" s="147"/>
      <c r="K21" s="147"/>
      <c r="L21" s="147"/>
      <c r="M21" s="147"/>
      <c r="N21" s="147"/>
      <c r="O21" s="29"/>
      <c r="P21" s="29"/>
      <c r="S21" t="str">
        <f>IF(C26="","",IF(C26&lt;=R19,"Basis en bijzonder budget",IF(C26&lt;=S19,"Enkel basis budget","")))</f>
        <v/>
      </c>
      <c r="X21">
        <v>38</v>
      </c>
      <c r="Y21">
        <v>8</v>
      </c>
    </row>
    <row r="22" spans="1:25" ht="13.8" thickBot="1" x14ac:dyDescent="0.3">
      <c r="A22" s="45"/>
      <c r="B22" s="103" t="s">
        <v>27</v>
      </c>
      <c r="C22" s="104"/>
      <c r="D22" s="105">
        <f>IF(D20=0,"",LEFT(D20,2)/40)</f>
        <v>0</v>
      </c>
      <c r="E22" s="45"/>
      <c r="F22" s="45"/>
      <c r="G22" s="45"/>
      <c r="H22" s="45"/>
      <c r="I22" s="47"/>
      <c r="J22" s="48"/>
      <c r="K22" s="48"/>
      <c r="L22" s="48"/>
      <c r="M22" s="48"/>
      <c r="N22" s="48"/>
      <c r="O22" s="29"/>
      <c r="P22" s="29"/>
      <c r="S22" t="str">
        <f>IF(C26="","",IF(C26&lt;=R19,"Enkel basis budget",""))</f>
        <v/>
      </c>
      <c r="X22">
        <v>39</v>
      </c>
      <c r="Y22">
        <v>8</v>
      </c>
    </row>
    <row r="23" spans="1:25" s="10" customFormat="1" ht="13.2" x14ac:dyDescent="0.25">
      <c r="A23" s="11" t="s">
        <v>28</v>
      </c>
      <c r="B23" s="11"/>
      <c r="C23" s="11"/>
      <c r="D23" s="8"/>
      <c r="E23" s="11"/>
      <c r="F23" s="11"/>
      <c r="G23" s="11"/>
      <c r="H23" s="11"/>
      <c r="I23" s="39"/>
      <c r="J23" s="11"/>
      <c r="K23" s="11"/>
      <c r="L23" s="11"/>
      <c r="M23" s="11"/>
      <c r="N23" s="11"/>
      <c r="O23" s="49"/>
      <c r="P23" s="49"/>
      <c r="X23">
        <v>40</v>
      </c>
      <c r="Y23" s="10">
        <v>16</v>
      </c>
    </row>
    <row r="24" spans="1:25" ht="12.75" customHeight="1" x14ac:dyDescent="0.25">
      <c r="A24" t="s">
        <v>93</v>
      </c>
      <c r="B24" s="11"/>
      <c r="C24" s="11"/>
      <c r="D24" s="117"/>
      <c r="E24" s="108"/>
      <c r="F24" s="11"/>
      <c r="G24" s="11"/>
      <c r="H24" s="11"/>
      <c r="I24" s="39"/>
      <c r="J24" s="173" t="s">
        <v>94</v>
      </c>
      <c r="K24" s="173"/>
      <c r="L24" s="173"/>
      <c r="M24" s="173"/>
      <c r="N24" s="173"/>
      <c r="R24">
        <f>ROUND(LEFT(D20,2)/40*40,0)</f>
        <v>0</v>
      </c>
      <c r="X24">
        <v>41</v>
      </c>
      <c r="Y24">
        <v>16</v>
      </c>
    </row>
    <row r="25" spans="1:25" ht="13.2" x14ac:dyDescent="0.25">
      <c r="A25" s="8" t="s">
        <v>33</v>
      </c>
      <c r="B25" s="11"/>
      <c r="C25" s="168"/>
      <c r="D25" s="169"/>
      <c r="E25" s="100" t="str">
        <f>IF(C25="Ja","Werktijdfactor verlof","")</f>
        <v/>
      </c>
      <c r="G25" s="5"/>
      <c r="I25" s="39"/>
      <c r="J25" s="173"/>
      <c r="K25" s="173"/>
      <c r="L25" s="173"/>
      <c r="M25" s="173"/>
      <c r="N25" s="173"/>
      <c r="O25" s="115"/>
      <c r="Q25" s="8"/>
      <c r="X25">
        <v>42</v>
      </c>
      <c r="Y25">
        <v>16</v>
      </c>
    </row>
    <row r="26" spans="1:25" ht="13.2" x14ac:dyDescent="0.25">
      <c r="A26" s="8" t="s">
        <v>34</v>
      </c>
      <c r="B26" s="11"/>
      <c r="C26" s="200"/>
      <c r="D26" s="201"/>
      <c r="E26" s="171" t="str">
        <f>IF(G25&gt;0,"Verdeling uren ouderschapsverlof","")</f>
        <v/>
      </c>
      <c r="F26" s="171"/>
      <c r="G26" s="171"/>
      <c r="H26" s="11"/>
      <c r="I26" s="39"/>
      <c r="J26" s="173" t="s">
        <v>99</v>
      </c>
      <c r="K26" s="173"/>
      <c r="L26" s="173"/>
      <c r="M26" s="173"/>
      <c r="N26" s="173"/>
      <c r="O26" s="11"/>
      <c r="P26" s="11"/>
      <c r="Q26">
        <f>2014-1958</f>
        <v>56</v>
      </c>
      <c r="R26" t="s">
        <v>35</v>
      </c>
      <c r="W26" s="11"/>
      <c r="X26">
        <v>43</v>
      </c>
      <c r="Y26">
        <v>16</v>
      </c>
    </row>
    <row r="27" spans="1:25" ht="13.2" x14ac:dyDescent="0.25">
      <c r="A27" s="8" t="str">
        <f>IF(C26="","",IF($C$26&lt;$R$19,"Recht duurzame inzetbaarheid",IF($C$26&lt;=$S$19,"Recht duurzame inzetbaarheid","")))</f>
        <v/>
      </c>
      <c r="B27" s="11"/>
      <c r="C27" s="172"/>
      <c r="D27" s="172"/>
      <c r="E27" s="31" t="str">
        <f>IF(G25&gt;0,"Profess.","")</f>
        <v/>
      </c>
      <c r="F27" s="31" t="str">
        <f>IF(G25&gt;0,"Duurz. inz.","")</f>
        <v/>
      </c>
      <c r="G27" s="31" t="str">
        <f>IF(G25&gt;0,"Taakuren","")</f>
        <v/>
      </c>
      <c r="H27" s="50"/>
      <c r="I27" s="51"/>
      <c r="J27" s="173"/>
      <c r="K27" s="173"/>
      <c r="L27" s="173"/>
      <c r="M27" s="173"/>
      <c r="N27" s="173"/>
      <c r="O27" s="11"/>
      <c r="P27" s="11"/>
      <c r="R27" t="s">
        <v>36</v>
      </c>
      <c r="T27" s="89">
        <f>G25*1659</f>
        <v>0</v>
      </c>
      <c r="U27" s="89"/>
      <c r="X27">
        <v>44</v>
      </c>
      <c r="Y27">
        <v>16</v>
      </c>
    </row>
    <row r="28" spans="1:25" ht="13.8" thickBot="1" x14ac:dyDescent="0.3">
      <c r="A28" s="53" t="str">
        <f>IF(C27="","",IF(C27="Overgangsregeling 52+","Waarvan uren verlof",IF(C27="Overgangsregeling 56+","Waarvan uren verlof",IF(C27="Basis en bijzonder budget","Waarvan uren verlof",""))))</f>
        <v/>
      </c>
      <c r="B28" s="54"/>
      <c r="C28" s="99"/>
      <c r="D28" s="82" t="str">
        <f>IF(C27="Overgangsregeling 56+","Tussen "&amp;ROUND(170*LEFT(D20,2)/40,0)&amp;" en "&amp;ROUND(340*LEFT(D20,2)/40,0),IF(C27="Overgangsregeling 52+","Tussen 0 en "&amp;ROUND(170*LEFT(D20,2)/40,0),IF(C27="Basis en bijzonder budget","Tussen 0 en "&amp;ROUND(170*LEFT(D20,2)/40,0),"")))</f>
        <v/>
      </c>
      <c r="E28" s="101" t="str">
        <f>IF(G25&gt;0,ROUND(T29*T27,0),"")</f>
        <v/>
      </c>
      <c r="F28" s="101" t="str">
        <f>IF(G25&gt;0,ROUND(T30*T27,0),"")</f>
        <v/>
      </c>
      <c r="G28" s="101" t="str">
        <f>IF(G25&gt;0,ROUND(T31*T27,0),"")</f>
        <v/>
      </c>
      <c r="H28" s="82"/>
      <c r="I28" s="51"/>
      <c r="J28" s="114"/>
      <c r="K28" s="114"/>
      <c r="L28" s="114"/>
      <c r="M28" s="114"/>
      <c r="N28" s="114"/>
      <c r="O28" s="11"/>
      <c r="P28" s="11"/>
      <c r="R28" s="88"/>
      <c r="S28" s="89"/>
      <c r="T28" s="90">
        <f>R28/SUM($S$32:$S$36)</f>
        <v>0</v>
      </c>
      <c r="U28" s="89">
        <f>T28*$T$27</f>
        <v>0</v>
      </c>
      <c r="X28">
        <v>45</v>
      </c>
      <c r="Y28">
        <v>24</v>
      </c>
    </row>
    <row r="29" spans="1:25" ht="13.2" x14ac:dyDescent="0.25">
      <c r="A29" s="11"/>
      <c r="B29" s="11"/>
      <c r="C29" s="11"/>
      <c r="D29" s="8"/>
      <c r="E29" s="11"/>
      <c r="F29" s="11"/>
      <c r="G29" s="16"/>
      <c r="H29" s="16"/>
      <c r="I29" s="55"/>
      <c r="J29" s="39"/>
      <c r="K29" s="39"/>
      <c r="L29" s="39"/>
      <c r="M29" s="39"/>
      <c r="N29" s="55"/>
      <c r="R29" s="88">
        <f>ROUND(LEFT(D20,2)/40*2*41.475,0)</f>
        <v>0</v>
      </c>
      <c r="S29" s="89"/>
      <c r="T29" s="90" t="e">
        <f>R29/SUM($R$29:$R$31)</f>
        <v>#DIV/0!</v>
      </c>
      <c r="U29" s="89">
        <f>IFERROR(T29*$T$27,0)</f>
        <v>0</v>
      </c>
      <c r="X29">
        <v>46</v>
      </c>
      <c r="Y29">
        <v>24</v>
      </c>
    </row>
    <row r="30" spans="1:25" ht="13.2" x14ac:dyDescent="0.25">
      <c r="A30" s="16" t="s">
        <v>43</v>
      </c>
      <c r="B30" s="11"/>
      <c r="C30" s="11"/>
      <c r="D30" s="8"/>
      <c r="E30" s="11"/>
      <c r="F30" s="11"/>
      <c r="G30" s="16"/>
      <c r="H30" s="16"/>
      <c r="I30" s="55"/>
      <c r="J30" s="19"/>
      <c r="K30" s="19"/>
      <c r="L30" s="19"/>
      <c r="M30" s="19"/>
      <c r="N30" s="19"/>
      <c r="R30" s="88">
        <f>ROUND(IF(A27="",ROUND(LEFT(D20,2)/40*40,0),ROUND(VLOOKUP(C27,$R$32:$S$36,2,FALSE)*LEFT(D20,2)/40,0))-C28,0)</f>
        <v>0</v>
      </c>
      <c r="S30" s="89"/>
      <c r="T30" s="90" t="e">
        <f t="shared" ref="T30" si="1">R30/SUM($R$29:$R$31)</f>
        <v>#DIV/0!</v>
      </c>
      <c r="U30" s="89">
        <f t="shared" ref="U30" si="2">IFERROR(T30*$T$27,0)</f>
        <v>0</v>
      </c>
      <c r="X30">
        <v>47</v>
      </c>
      <c r="Y30">
        <v>24</v>
      </c>
    </row>
    <row r="31" spans="1:25" ht="13.2" x14ac:dyDescent="0.25">
      <c r="A31" s="16"/>
      <c r="B31" s="11"/>
      <c r="C31" s="11"/>
      <c r="D31" s="8"/>
      <c r="E31" s="11"/>
      <c r="F31" s="16"/>
      <c r="G31" s="16"/>
      <c r="H31" s="16"/>
      <c r="I31" s="55"/>
      <c r="J31" s="19"/>
      <c r="K31" s="19"/>
      <c r="L31" s="19"/>
      <c r="M31" s="19"/>
      <c r="N31" s="19"/>
      <c r="R31" s="89">
        <f>IFERROR(ROUND(R41,0),0)</f>
        <v>0</v>
      </c>
      <c r="S31" s="89"/>
      <c r="T31" s="90" t="e">
        <f>R31/SUM($R$29:$R$31)</f>
        <v>#DIV/0!</v>
      </c>
      <c r="U31" s="89">
        <f>IFERROR(T31*$T$27,0)</f>
        <v>0</v>
      </c>
      <c r="X31">
        <v>48</v>
      </c>
      <c r="Y31">
        <v>24</v>
      </c>
    </row>
    <row r="32" spans="1:25" ht="13.2" x14ac:dyDescent="0.25">
      <c r="A32" s="16" t="s">
        <v>95</v>
      </c>
      <c r="C32" s="11"/>
      <c r="D32" s="14"/>
      <c r="E32" s="56" t="s">
        <v>96</v>
      </c>
      <c r="F32" s="11"/>
      <c r="G32" s="16"/>
      <c r="H32" s="16"/>
      <c r="I32" s="55"/>
      <c r="J32" s="19"/>
      <c r="K32" s="19"/>
      <c r="L32" s="19"/>
      <c r="M32" s="19"/>
      <c r="N32" s="19"/>
      <c r="R32" t="s">
        <v>46</v>
      </c>
      <c r="S32">
        <f>'wtf OP, obv dagdelen onderbouw'!T52</f>
        <v>253</v>
      </c>
      <c r="U32" s="89"/>
      <c r="X32">
        <v>49</v>
      </c>
      <c r="Y32">
        <v>24</v>
      </c>
    </row>
    <row r="33" spans="1:25" ht="13.2" customHeight="1" x14ac:dyDescent="0.25">
      <c r="A33" s="6" t="s">
        <v>56</v>
      </c>
      <c r="B33" s="8"/>
      <c r="C33" s="13"/>
      <c r="D33" s="8"/>
      <c r="E33" s="165" t="s">
        <v>98</v>
      </c>
      <c r="F33" s="165"/>
      <c r="G33" s="166">
        <f>ROUND(IF(AND(A28="",G25=""),ROUND(LEFT(D20,2)/40*123,0),IF(G25&gt;0,ROUND(LEFT(D20,2)/40*123,0)-F28,ROUND(VLOOKUP(C27,$R$32:$S$36,2,FALSE)*LEFT(D20,2)/40,0))-C28),0)</f>
        <v>0</v>
      </c>
      <c r="H33" s="59"/>
      <c r="I33" s="60"/>
      <c r="J33" s="19"/>
      <c r="K33" s="19"/>
      <c r="L33" s="19"/>
      <c r="M33" s="19"/>
      <c r="N33" s="19"/>
      <c r="R33" t="s">
        <v>48</v>
      </c>
      <c r="S33">
        <f>'wtf OP, obv dagdelen onderbouw'!T53</f>
        <v>463</v>
      </c>
      <c r="X33">
        <v>50</v>
      </c>
      <c r="Y33">
        <v>32</v>
      </c>
    </row>
    <row r="34" spans="1:25" ht="13.2" x14ac:dyDescent="0.25">
      <c r="A34" s="22" t="s">
        <v>57</v>
      </c>
      <c r="B34" s="8"/>
      <c r="C34" s="13"/>
      <c r="D34" s="14"/>
      <c r="E34" s="165"/>
      <c r="F34" s="165"/>
      <c r="G34" s="166"/>
      <c r="H34" s="59"/>
      <c r="I34" s="60"/>
      <c r="J34" s="61"/>
      <c r="K34" s="61"/>
      <c r="L34" s="61"/>
      <c r="M34" s="61"/>
      <c r="N34" s="61"/>
      <c r="O34" s="62"/>
      <c r="P34" s="62"/>
      <c r="R34" t="s">
        <v>50</v>
      </c>
      <c r="S34">
        <f>'wtf OP, obv dagdelen onderbouw'!T54</f>
        <v>253</v>
      </c>
      <c r="X34">
        <v>51</v>
      </c>
      <c r="Y34">
        <v>32</v>
      </c>
    </row>
    <row r="35" spans="1:25" ht="13.2" x14ac:dyDescent="0.25">
      <c r="A35" s="22" t="s">
        <v>58</v>
      </c>
      <c r="B35" s="8"/>
      <c r="C35" s="13"/>
      <c r="D35" s="14"/>
      <c r="E35" s="8" t="str">
        <f>IF(C28&gt;0,"Verlof duurzame inzetbaarheid",IF(G25&gt;0,"Ouderschapsverlof",""))</f>
        <v/>
      </c>
      <c r="F35" s="8"/>
      <c r="G35" s="59" t="str">
        <f>IF(E35="","",IF(C28&gt;0,C28,IF(G25&gt;0,T27,"")))</f>
        <v/>
      </c>
      <c r="I35" s="63"/>
      <c r="J35" s="61"/>
      <c r="K35" s="61"/>
      <c r="L35" s="61"/>
      <c r="M35" s="61"/>
      <c r="N35" s="61"/>
      <c r="O35" s="62"/>
      <c r="P35" s="62"/>
      <c r="X35">
        <v>52</v>
      </c>
      <c r="Y35">
        <v>32</v>
      </c>
    </row>
    <row r="36" spans="1:25" ht="13.8" thickBot="1" x14ac:dyDescent="0.3">
      <c r="A36" s="22" t="s">
        <v>59</v>
      </c>
      <c r="B36" s="8"/>
      <c r="C36" s="13"/>
      <c r="D36" s="121"/>
      <c r="E36" t="str">
        <f>IF(D24="Nee","Bijzonder verlof OOP","")</f>
        <v/>
      </c>
      <c r="F36" s="8"/>
      <c r="G36" t="str">
        <f>IF(E36="","",ROUND(VLOOKUP(S16,$X$1:$Y$76,2,FALSE)*D22,0))</f>
        <v/>
      </c>
      <c r="H36" s="66"/>
      <c r="J36" s="19"/>
      <c r="K36" s="19"/>
      <c r="L36" s="19"/>
      <c r="M36" s="19"/>
      <c r="N36" s="19"/>
      <c r="R36" t="s">
        <v>53</v>
      </c>
      <c r="S36">
        <f>'wtf OP, obv dagdelen onderbouw'!T56</f>
        <v>123</v>
      </c>
      <c r="X36">
        <v>53</v>
      </c>
      <c r="Y36">
        <v>32</v>
      </c>
    </row>
    <row r="37" spans="1:25" ht="13.8" thickBot="1" x14ac:dyDescent="0.3">
      <c r="A37" s="22" t="s">
        <v>60</v>
      </c>
      <c r="B37" s="8"/>
      <c r="C37" s="13"/>
      <c r="D37" s="14"/>
      <c r="E37" s="11" t="s">
        <v>21</v>
      </c>
      <c r="F37" s="16"/>
      <c r="G37" s="65">
        <f>SUM(G33:G36)</f>
        <v>0</v>
      </c>
      <c r="J37" s="19"/>
      <c r="K37" s="19"/>
      <c r="L37" s="19"/>
      <c r="M37" s="19"/>
      <c r="N37" s="19"/>
      <c r="X37">
        <v>54</v>
      </c>
      <c r="Y37">
        <v>32</v>
      </c>
    </row>
    <row r="38" spans="1:25" ht="13.2" x14ac:dyDescent="0.25">
      <c r="A38" s="22" t="s">
        <v>60</v>
      </c>
      <c r="B38" s="8"/>
      <c r="C38" s="13"/>
      <c r="D38" s="14"/>
      <c r="E38" s="160" t="str">
        <f>IF(C76&lt;0,"LET OP:","")</f>
        <v/>
      </c>
      <c r="F38" s="160"/>
      <c r="G38" s="160"/>
      <c r="J38" s="161" t="s">
        <v>97</v>
      </c>
      <c r="K38" s="161"/>
      <c r="L38" s="161"/>
      <c r="M38" s="161"/>
      <c r="N38" s="161"/>
      <c r="X38">
        <v>55</v>
      </c>
      <c r="Y38">
        <v>40</v>
      </c>
    </row>
    <row r="39" spans="1:25" ht="13.2" x14ac:dyDescent="0.25">
      <c r="A39" s="22" t="s">
        <v>60</v>
      </c>
      <c r="B39" s="8"/>
      <c r="C39" s="13"/>
      <c r="D39" s="14"/>
      <c r="E39" s="160"/>
      <c r="F39" s="160"/>
      <c r="G39" s="160"/>
      <c r="J39" s="161"/>
      <c r="K39" s="161"/>
      <c r="L39" s="161"/>
      <c r="M39" s="161"/>
      <c r="N39" s="161"/>
      <c r="R39" s="67"/>
      <c r="X39">
        <v>56</v>
      </c>
      <c r="Y39">
        <v>40</v>
      </c>
    </row>
    <row r="40" spans="1:25" ht="12.75" customHeight="1" x14ac:dyDescent="0.25">
      <c r="A40" s="22" t="s">
        <v>60</v>
      </c>
      <c r="B40" s="8"/>
      <c r="C40" s="13"/>
      <c r="D40" s="198" t="str">
        <f>IF(C76&lt;0,"De werktijdfactor is te laag om deze taken te kunnen vervullen. Vul extra variabele dagen in.","")</f>
        <v/>
      </c>
      <c r="E40" s="162"/>
      <c r="F40" s="162"/>
      <c r="G40" s="162"/>
      <c r="J40" s="161"/>
      <c r="K40" s="161"/>
      <c r="L40" s="161"/>
      <c r="M40" s="161"/>
      <c r="N40" s="161"/>
      <c r="S40" s="67">
        <f>R39+R40</f>
        <v>0</v>
      </c>
      <c r="X40">
        <v>57</v>
      </c>
      <c r="Y40">
        <v>40</v>
      </c>
    </row>
    <row r="41" spans="1:25" ht="12.75" customHeight="1" x14ac:dyDescent="0.25">
      <c r="A41" s="22" t="s">
        <v>60</v>
      </c>
      <c r="B41" s="8"/>
      <c r="C41" s="13"/>
      <c r="D41" s="198"/>
      <c r="E41" s="162"/>
      <c r="F41" s="162"/>
      <c r="G41" s="162"/>
      <c r="J41" s="161"/>
      <c r="K41" s="161"/>
      <c r="L41" s="161"/>
      <c r="M41" s="161"/>
      <c r="N41" s="161"/>
      <c r="R41">
        <f>ROUND(1659*(LEFT(D20,2)/40)-ROUND(IF(A27="",ROUND(LEFT(D20,2)/40*40,0),ROUND(VLOOKUP(C27,$R$32:$S$36,2,FALSE)*LEFT(D20,2)/40,0))-C28,0)-ROUND(LEFT(D20,2)/40*2*41.475,0)-ROUND(IF(E36="",0,G36),0),0)</f>
        <v>0</v>
      </c>
      <c r="X41">
        <v>58</v>
      </c>
      <c r="Y41">
        <v>40</v>
      </c>
    </row>
    <row r="42" spans="1:25" ht="12.75" customHeight="1" x14ac:dyDescent="0.25">
      <c r="A42" s="22" t="s">
        <v>60</v>
      </c>
      <c r="B42" s="8"/>
      <c r="C42" s="13"/>
      <c r="D42" s="163" t="s">
        <v>101</v>
      </c>
      <c r="E42" s="164"/>
      <c r="F42" s="164"/>
      <c r="G42" s="164"/>
      <c r="H42" s="110"/>
      <c r="I42" s="68"/>
      <c r="J42" s="161"/>
      <c r="K42" s="161"/>
      <c r="L42" s="161"/>
      <c r="M42" s="161"/>
      <c r="N42" s="161"/>
      <c r="R42" s="67">
        <f>1659/40*LEFT(D20,2)</f>
        <v>0</v>
      </c>
      <c r="T42" s="67" t="e">
        <f>R41-G35-SUM(C33:C75)-U31</f>
        <v>#VALUE!</v>
      </c>
      <c r="X42">
        <v>59</v>
      </c>
      <c r="Y42">
        <v>40</v>
      </c>
    </row>
    <row r="43" spans="1:25" ht="13.2" x14ac:dyDescent="0.25">
      <c r="A43" s="22" t="s">
        <v>60</v>
      </c>
      <c r="B43" s="8"/>
      <c r="C43" s="13"/>
      <c r="D43" s="111" t="s">
        <v>130</v>
      </c>
      <c r="E43" s="208" t="str">
        <f>G35</f>
        <v/>
      </c>
      <c r="F43" s="208"/>
      <c r="G43" s="208"/>
      <c r="H43" s="110"/>
      <c r="I43" s="68"/>
      <c r="J43" s="19"/>
      <c r="K43" s="19"/>
      <c r="L43" s="19"/>
      <c r="M43" s="19"/>
      <c r="N43" s="19"/>
      <c r="X43">
        <v>60</v>
      </c>
      <c r="Y43">
        <v>48</v>
      </c>
    </row>
    <row r="44" spans="1:25" ht="13.2" x14ac:dyDescent="0.25">
      <c r="A44" s="22" t="s">
        <v>60</v>
      </c>
      <c r="B44" s="8"/>
      <c r="C44" s="13"/>
      <c r="D44" s="111" t="s">
        <v>58</v>
      </c>
      <c r="E44" s="175"/>
      <c r="F44" s="175"/>
      <c r="G44" s="175"/>
      <c r="H44" s="110"/>
      <c r="I44" s="68"/>
      <c r="J44" s="19"/>
      <c r="K44" s="19"/>
      <c r="L44" s="19"/>
      <c r="M44" s="19"/>
      <c r="N44" s="19"/>
      <c r="X44">
        <v>61</v>
      </c>
      <c r="Y44">
        <v>48</v>
      </c>
    </row>
    <row r="45" spans="1:25" ht="13.2" x14ac:dyDescent="0.25">
      <c r="A45" s="22" t="s">
        <v>60</v>
      </c>
      <c r="B45" s="8"/>
      <c r="C45" s="13"/>
      <c r="D45" s="111" t="s">
        <v>62</v>
      </c>
      <c r="E45" s="175"/>
      <c r="F45" s="175"/>
      <c r="G45" s="175"/>
      <c r="H45" s="110"/>
      <c r="I45" s="68"/>
      <c r="J45" s="19"/>
      <c r="K45" s="19"/>
      <c r="L45" s="19"/>
      <c r="M45" s="19"/>
      <c r="N45" s="19"/>
      <c r="X45">
        <v>62</v>
      </c>
      <c r="Y45">
        <v>48</v>
      </c>
    </row>
    <row r="46" spans="1:25" ht="13.2" x14ac:dyDescent="0.25">
      <c r="A46" s="22" t="s">
        <v>60</v>
      </c>
      <c r="B46" s="8"/>
      <c r="C46" s="13"/>
      <c r="D46" s="111" t="s">
        <v>61</v>
      </c>
      <c r="E46" s="175"/>
      <c r="F46" s="175"/>
      <c r="G46" s="175"/>
      <c r="H46" s="15"/>
      <c r="I46" s="18"/>
      <c r="J46" s="19"/>
      <c r="K46" s="19"/>
      <c r="L46" s="19"/>
      <c r="M46" s="19"/>
      <c r="N46" s="19"/>
      <c r="X46">
        <v>63</v>
      </c>
      <c r="Y46">
        <v>48</v>
      </c>
    </row>
    <row r="47" spans="1:25" ht="13.2" x14ac:dyDescent="0.25">
      <c r="A47" s="22" t="s">
        <v>60</v>
      </c>
      <c r="B47" s="8"/>
      <c r="C47" s="13"/>
      <c r="D47" s="112" t="s">
        <v>63</v>
      </c>
      <c r="E47" s="175"/>
      <c r="F47" s="175"/>
      <c r="G47" s="175"/>
      <c r="H47" s="15"/>
      <c r="I47" s="18"/>
      <c r="J47" s="19"/>
      <c r="K47" s="19"/>
      <c r="L47" s="19"/>
      <c r="M47" s="19"/>
      <c r="N47" s="19"/>
      <c r="X47">
        <v>64</v>
      </c>
      <c r="Y47">
        <v>48</v>
      </c>
    </row>
    <row r="48" spans="1:25" ht="13.2" x14ac:dyDescent="0.25">
      <c r="A48" s="22" t="s">
        <v>60</v>
      </c>
      <c r="B48" s="8"/>
      <c r="C48" s="13"/>
      <c r="D48" s="112" t="s">
        <v>64</v>
      </c>
      <c r="E48" s="175"/>
      <c r="F48" s="175"/>
      <c r="G48" s="175"/>
      <c r="H48" s="15"/>
      <c r="I48" s="18"/>
      <c r="J48" s="19"/>
      <c r="K48" s="19"/>
      <c r="L48" s="19"/>
      <c r="M48" s="19"/>
      <c r="N48" s="19"/>
      <c r="X48">
        <v>65</v>
      </c>
      <c r="Y48">
        <v>48</v>
      </c>
    </row>
    <row r="49" spans="1:25" ht="13.2" hidden="1" x14ac:dyDescent="0.25">
      <c r="A49" s="22" t="s">
        <v>60</v>
      </c>
      <c r="B49" s="8"/>
      <c r="C49" s="13"/>
      <c r="D49" s="112" t="s">
        <v>60</v>
      </c>
      <c r="E49" s="175"/>
      <c r="F49" s="175"/>
      <c r="G49" s="175"/>
      <c r="H49" s="15"/>
      <c r="I49" s="18"/>
      <c r="J49" s="19"/>
      <c r="K49" s="19"/>
      <c r="L49" s="19"/>
      <c r="M49" s="19"/>
      <c r="N49" s="19"/>
      <c r="X49">
        <v>66</v>
      </c>
      <c r="Y49">
        <v>48</v>
      </c>
    </row>
    <row r="50" spans="1:25" ht="13.2" hidden="1" x14ac:dyDescent="0.25">
      <c r="A50" s="22" t="s">
        <v>60</v>
      </c>
      <c r="B50" s="8"/>
      <c r="C50" s="13"/>
      <c r="D50" s="112" t="s">
        <v>60</v>
      </c>
      <c r="E50" s="175"/>
      <c r="F50" s="175"/>
      <c r="G50" s="175"/>
      <c r="H50" s="15"/>
      <c r="I50" s="18"/>
      <c r="J50" s="19"/>
      <c r="K50" s="19"/>
      <c r="L50" s="19"/>
      <c r="M50" s="19"/>
      <c r="N50" s="19"/>
      <c r="X50">
        <v>67</v>
      </c>
      <c r="Y50">
        <v>48</v>
      </c>
    </row>
    <row r="51" spans="1:25" ht="13.2" hidden="1" x14ac:dyDescent="0.25">
      <c r="A51" s="22" t="s">
        <v>60</v>
      </c>
      <c r="B51" s="8"/>
      <c r="C51" s="13"/>
      <c r="D51" s="112" t="s">
        <v>60</v>
      </c>
      <c r="E51" s="175"/>
      <c r="F51" s="175"/>
      <c r="G51" s="175"/>
      <c r="H51" s="15"/>
      <c r="I51" s="18"/>
      <c r="J51" s="19"/>
      <c r="K51" s="19"/>
      <c r="L51" s="19"/>
      <c r="M51" s="19"/>
      <c r="N51" s="19"/>
      <c r="X51">
        <v>68</v>
      </c>
      <c r="Y51">
        <v>48</v>
      </c>
    </row>
    <row r="52" spans="1:25" ht="13.2" hidden="1" x14ac:dyDescent="0.25">
      <c r="A52" s="22" t="s">
        <v>60</v>
      </c>
      <c r="B52" s="8"/>
      <c r="C52" s="13"/>
      <c r="D52" s="112" t="s">
        <v>60</v>
      </c>
      <c r="E52" s="175"/>
      <c r="F52" s="175"/>
      <c r="G52" s="175"/>
      <c r="H52" s="15"/>
      <c r="I52" s="18"/>
      <c r="J52" s="19"/>
      <c r="K52" s="19"/>
      <c r="L52" s="19"/>
      <c r="M52" s="19"/>
      <c r="N52" s="19"/>
      <c r="X52">
        <v>69</v>
      </c>
      <c r="Y52">
        <v>48</v>
      </c>
    </row>
    <row r="53" spans="1:25" ht="13.2" hidden="1" x14ac:dyDescent="0.25">
      <c r="A53" s="22" t="s">
        <v>60</v>
      </c>
      <c r="B53" s="8"/>
      <c r="C53" s="13"/>
      <c r="D53" s="112" t="s">
        <v>60</v>
      </c>
      <c r="E53" s="175"/>
      <c r="F53" s="175"/>
      <c r="G53" s="175"/>
      <c r="H53" s="15"/>
      <c r="I53" s="18"/>
      <c r="J53" s="19"/>
      <c r="K53" s="19"/>
      <c r="L53" s="19"/>
      <c r="M53" s="19"/>
      <c r="N53" s="19"/>
      <c r="X53">
        <v>70</v>
      </c>
      <c r="Y53">
        <v>48</v>
      </c>
    </row>
    <row r="54" spans="1:25" ht="13.2" hidden="1" x14ac:dyDescent="0.25">
      <c r="A54" s="22" t="s">
        <v>60</v>
      </c>
      <c r="B54" s="8"/>
      <c r="C54" s="13"/>
      <c r="D54" s="112" t="s">
        <v>60</v>
      </c>
      <c r="E54" s="175"/>
      <c r="F54" s="175"/>
      <c r="G54" s="175"/>
      <c r="H54" s="15"/>
      <c r="I54" s="18"/>
      <c r="J54" s="19"/>
      <c r="K54" s="19"/>
      <c r="L54" s="19"/>
      <c r="M54" s="19"/>
      <c r="N54" s="19"/>
      <c r="X54">
        <v>71</v>
      </c>
      <c r="Y54">
        <v>48</v>
      </c>
    </row>
    <row r="55" spans="1:25" ht="13.2" hidden="1" x14ac:dyDescent="0.25">
      <c r="A55" s="22" t="s">
        <v>60</v>
      </c>
      <c r="B55" s="8"/>
      <c r="C55" s="13"/>
      <c r="D55" s="112" t="s">
        <v>60</v>
      </c>
      <c r="E55" s="175"/>
      <c r="F55" s="175"/>
      <c r="G55" s="175"/>
      <c r="H55" s="15"/>
      <c r="I55" s="18"/>
      <c r="J55" s="19"/>
      <c r="K55" s="19"/>
      <c r="L55" s="19"/>
      <c r="M55" s="19"/>
      <c r="N55" s="19"/>
      <c r="X55">
        <v>72</v>
      </c>
      <c r="Y55">
        <v>48</v>
      </c>
    </row>
    <row r="56" spans="1:25" s="8" customFormat="1" ht="13.2" hidden="1" x14ac:dyDescent="0.25">
      <c r="A56" s="22" t="s">
        <v>60</v>
      </c>
      <c r="C56" s="13"/>
      <c r="D56" s="112" t="s">
        <v>60</v>
      </c>
      <c r="E56" s="175"/>
      <c r="F56" s="175"/>
      <c r="G56" s="175"/>
      <c r="H56" s="15"/>
      <c r="I56" s="18"/>
      <c r="J56" s="19"/>
      <c r="K56" s="19"/>
      <c r="L56" s="19"/>
      <c r="M56" s="19"/>
      <c r="N56" s="19"/>
      <c r="Q56"/>
      <c r="R56"/>
      <c r="S56"/>
      <c r="T56"/>
      <c r="U56"/>
      <c r="V56"/>
      <c r="X56">
        <v>73</v>
      </c>
      <c r="Y56">
        <v>48</v>
      </c>
    </row>
    <row r="57" spans="1:25" s="8" customFormat="1" ht="13.2" hidden="1" x14ac:dyDescent="0.25">
      <c r="A57" s="22" t="s">
        <v>60</v>
      </c>
      <c r="C57" s="13"/>
      <c r="D57" s="112" t="s">
        <v>60</v>
      </c>
      <c r="E57" s="175"/>
      <c r="F57" s="175"/>
      <c r="G57" s="175"/>
      <c r="H57" s="15"/>
      <c r="I57" s="18"/>
      <c r="J57" s="19"/>
      <c r="K57" s="19"/>
      <c r="L57" s="19"/>
      <c r="M57" s="19"/>
      <c r="N57" s="19"/>
      <c r="Q57"/>
      <c r="R57"/>
      <c r="S57"/>
      <c r="T57"/>
      <c r="U57"/>
      <c r="V57"/>
      <c r="X57">
        <v>74</v>
      </c>
      <c r="Y57">
        <v>48</v>
      </c>
    </row>
    <row r="58" spans="1:25" s="8" customFormat="1" ht="13.2" hidden="1" x14ac:dyDescent="0.25">
      <c r="A58" s="22" t="s">
        <v>60</v>
      </c>
      <c r="C58" s="13"/>
      <c r="D58" s="112" t="s">
        <v>60</v>
      </c>
      <c r="E58" s="175"/>
      <c r="F58" s="175"/>
      <c r="G58" s="175"/>
      <c r="H58" s="15"/>
      <c r="I58" s="18"/>
      <c r="J58" s="19"/>
      <c r="K58" s="19"/>
      <c r="L58" s="19"/>
      <c r="M58" s="19"/>
      <c r="N58" s="19"/>
      <c r="Q58"/>
      <c r="R58"/>
      <c r="S58"/>
      <c r="T58"/>
      <c r="U58"/>
      <c r="V58"/>
      <c r="X58">
        <v>75</v>
      </c>
      <c r="Y58">
        <v>48</v>
      </c>
    </row>
    <row r="59" spans="1:25" s="8" customFormat="1" ht="13.2" hidden="1" x14ac:dyDescent="0.25">
      <c r="A59" s="22" t="s">
        <v>60</v>
      </c>
      <c r="C59" s="13"/>
      <c r="D59" s="112" t="s">
        <v>60</v>
      </c>
      <c r="E59" s="175"/>
      <c r="F59" s="175"/>
      <c r="G59" s="175"/>
      <c r="H59" s="15"/>
      <c r="I59" s="18"/>
      <c r="J59" s="19"/>
      <c r="K59" s="19"/>
      <c r="L59" s="19"/>
      <c r="M59" s="19"/>
      <c r="N59" s="19"/>
      <c r="Q59"/>
      <c r="R59"/>
      <c r="S59"/>
      <c r="T59"/>
      <c r="U59"/>
      <c r="V59"/>
      <c r="X59">
        <v>76</v>
      </c>
      <c r="Y59">
        <v>48</v>
      </c>
    </row>
    <row r="60" spans="1:25" s="8" customFormat="1" ht="13.2" hidden="1" x14ac:dyDescent="0.25">
      <c r="A60" s="22" t="s">
        <v>60</v>
      </c>
      <c r="C60" s="13"/>
      <c r="D60" s="112" t="s">
        <v>60</v>
      </c>
      <c r="E60" s="175"/>
      <c r="F60" s="175"/>
      <c r="G60" s="175"/>
      <c r="H60" s="15"/>
      <c r="I60" s="18"/>
      <c r="J60" s="19"/>
      <c r="K60" s="19"/>
      <c r="L60" s="19"/>
      <c r="M60" s="19"/>
      <c r="N60" s="19"/>
      <c r="Q60"/>
      <c r="R60"/>
      <c r="S60"/>
      <c r="T60"/>
      <c r="U60"/>
      <c r="V60"/>
      <c r="X60">
        <v>77</v>
      </c>
      <c r="Y60">
        <v>48</v>
      </c>
    </row>
    <row r="61" spans="1:25" s="8" customFormat="1" ht="13.2" hidden="1" x14ac:dyDescent="0.25">
      <c r="A61" s="22" t="s">
        <v>60</v>
      </c>
      <c r="C61" s="13"/>
      <c r="D61" s="112" t="s">
        <v>60</v>
      </c>
      <c r="E61" s="175"/>
      <c r="F61" s="175"/>
      <c r="G61" s="175"/>
      <c r="H61" s="15"/>
      <c r="I61" s="18"/>
      <c r="J61" s="19"/>
      <c r="K61" s="19"/>
      <c r="L61" s="19"/>
      <c r="M61" s="19"/>
      <c r="N61" s="19"/>
      <c r="Q61"/>
      <c r="R61"/>
      <c r="S61"/>
      <c r="T61"/>
      <c r="U61"/>
      <c r="V61"/>
      <c r="X61">
        <v>78</v>
      </c>
      <c r="Y61">
        <v>48</v>
      </c>
    </row>
    <row r="62" spans="1:25" s="8" customFormat="1" ht="13.2" hidden="1" x14ac:dyDescent="0.25">
      <c r="A62" s="22" t="s">
        <v>60</v>
      </c>
      <c r="C62" s="13"/>
      <c r="D62" s="112" t="s">
        <v>60</v>
      </c>
      <c r="E62" s="175"/>
      <c r="F62" s="175"/>
      <c r="G62" s="175"/>
      <c r="H62" s="15"/>
      <c r="I62" s="18"/>
      <c r="J62" s="19"/>
      <c r="K62" s="19"/>
      <c r="L62" s="19"/>
      <c r="M62" s="19"/>
      <c r="N62" s="19"/>
      <c r="Q62"/>
      <c r="R62"/>
      <c r="S62"/>
      <c r="T62"/>
      <c r="U62"/>
      <c r="V62"/>
      <c r="X62">
        <v>79</v>
      </c>
      <c r="Y62">
        <v>48</v>
      </c>
    </row>
    <row r="63" spans="1:25" s="8" customFormat="1" ht="13.2" hidden="1" x14ac:dyDescent="0.25">
      <c r="A63" s="22" t="s">
        <v>60</v>
      </c>
      <c r="C63" s="13"/>
      <c r="D63" s="112" t="s">
        <v>60</v>
      </c>
      <c r="E63" s="175"/>
      <c r="F63" s="175"/>
      <c r="G63" s="175"/>
      <c r="H63" s="15"/>
      <c r="I63" s="18"/>
      <c r="J63" s="19"/>
      <c r="K63" s="19"/>
      <c r="L63" s="19"/>
      <c r="M63" s="19"/>
      <c r="N63" s="19"/>
      <c r="Q63"/>
      <c r="R63"/>
      <c r="S63"/>
      <c r="T63"/>
      <c r="U63"/>
      <c r="V63"/>
      <c r="X63">
        <v>80</v>
      </c>
      <c r="Y63">
        <v>48</v>
      </c>
    </row>
    <row r="64" spans="1:25" s="8" customFormat="1" ht="13.2" hidden="1" x14ac:dyDescent="0.25">
      <c r="A64" s="22" t="s">
        <v>60</v>
      </c>
      <c r="C64" s="13"/>
      <c r="D64" s="112" t="s">
        <v>60</v>
      </c>
      <c r="E64" s="175"/>
      <c r="F64" s="175"/>
      <c r="G64" s="175"/>
      <c r="H64" s="15"/>
      <c r="I64" s="18"/>
      <c r="J64" s="19"/>
      <c r="K64" s="19"/>
      <c r="L64" s="19"/>
      <c r="M64" s="19"/>
      <c r="N64" s="19"/>
      <c r="Q64"/>
      <c r="R64"/>
      <c r="S64"/>
      <c r="T64"/>
      <c r="U64"/>
      <c r="V64"/>
      <c r="X64">
        <v>81</v>
      </c>
      <c r="Y64">
        <v>48</v>
      </c>
    </row>
    <row r="65" spans="1:25" s="8" customFormat="1" ht="13.2" hidden="1" x14ac:dyDescent="0.25">
      <c r="A65" s="22" t="s">
        <v>60</v>
      </c>
      <c r="C65" s="13"/>
      <c r="D65" s="112" t="s">
        <v>60</v>
      </c>
      <c r="E65" s="175"/>
      <c r="F65" s="175"/>
      <c r="G65" s="175"/>
      <c r="H65" s="15"/>
      <c r="I65" s="18"/>
      <c r="J65" s="19"/>
      <c r="K65" s="19"/>
      <c r="L65" s="19"/>
      <c r="M65" s="19"/>
      <c r="N65" s="19"/>
      <c r="Q65"/>
      <c r="R65"/>
      <c r="S65"/>
      <c r="T65"/>
      <c r="U65"/>
      <c r="V65"/>
      <c r="X65">
        <v>82</v>
      </c>
      <c r="Y65">
        <v>48</v>
      </c>
    </row>
    <row r="66" spans="1:25" s="8" customFormat="1" ht="13.2" hidden="1" x14ac:dyDescent="0.25">
      <c r="A66" s="22" t="s">
        <v>60</v>
      </c>
      <c r="C66" s="13"/>
      <c r="D66" s="112" t="s">
        <v>60</v>
      </c>
      <c r="E66" s="175"/>
      <c r="F66" s="175"/>
      <c r="G66" s="175"/>
      <c r="H66" s="15"/>
      <c r="I66" s="18"/>
      <c r="J66" s="19"/>
      <c r="K66" s="19"/>
      <c r="L66" s="19"/>
      <c r="M66" s="19"/>
      <c r="N66" s="19"/>
      <c r="Q66"/>
      <c r="R66"/>
      <c r="S66"/>
      <c r="T66"/>
      <c r="U66"/>
      <c r="V66"/>
      <c r="X66">
        <v>83</v>
      </c>
      <c r="Y66">
        <v>48</v>
      </c>
    </row>
    <row r="67" spans="1:25" s="8" customFormat="1" ht="13.2" hidden="1" x14ac:dyDescent="0.25">
      <c r="A67" s="22" t="s">
        <v>60</v>
      </c>
      <c r="C67" s="13"/>
      <c r="D67" s="112" t="s">
        <v>60</v>
      </c>
      <c r="E67" s="175"/>
      <c r="F67" s="175"/>
      <c r="G67" s="175"/>
      <c r="H67" s="15"/>
      <c r="I67" s="18"/>
      <c r="J67" s="19"/>
      <c r="K67" s="19"/>
      <c r="L67" s="19"/>
      <c r="M67" s="19"/>
      <c r="N67" s="19"/>
      <c r="Q67"/>
      <c r="R67"/>
      <c r="S67"/>
      <c r="T67"/>
      <c r="U67"/>
      <c r="V67"/>
      <c r="X67">
        <v>84</v>
      </c>
      <c r="Y67">
        <v>48</v>
      </c>
    </row>
    <row r="68" spans="1:25" s="8" customFormat="1" ht="13.2" hidden="1" x14ac:dyDescent="0.25">
      <c r="A68" s="22" t="s">
        <v>60</v>
      </c>
      <c r="C68" s="13"/>
      <c r="D68" s="112" t="s">
        <v>60</v>
      </c>
      <c r="E68" s="175"/>
      <c r="F68" s="175"/>
      <c r="G68" s="175"/>
      <c r="H68" s="15"/>
      <c r="I68" s="18"/>
      <c r="J68" s="19"/>
      <c r="K68" s="19"/>
      <c r="L68" s="19"/>
      <c r="M68" s="19"/>
      <c r="N68" s="19"/>
      <c r="Q68"/>
      <c r="R68"/>
      <c r="S68"/>
      <c r="T68"/>
      <c r="U68"/>
      <c r="V68"/>
      <c r="X68">
        <v>85</v>
      </c>
      <c r="Y68">
        <v>48</v>
      </c>
    </row>
    <row r="69" spans="1:25" s="8" customFormat="1" ht="13.2" hidden="1" x14ac:dyDescent="0.25">
      <c r="A69" s="22" t="s">
        <v>60</v>
      </c>
      <c r="C69" s="13"/>
      <c r="D69" s="112" t="s">
        <v>60</v>
      </c>
      <c r="E69" s="175"/>
      <c r="F69" s="175"/>
      <c r="G69" s="175"/>
      <c r="H69" s="15"/>
      <c r="I69" s="18"/>
      <c r="J69" s="19"/>
      <c r="K69" s="19"/>
      <c r="L69" s="19"/>
      <c r="M69" s="19"/>
      <c r="N69" s="19"/>
      <c r="Q69"/>
      <c r="R69"/>
      <c r="S69"/>
      <c r="T69"/>
      <c r="U69"/>
      <c r="V69"/>
      <c r="X69">
        <v>86</v>
      </c>
      <c r="Y69">
        <v>48</v>
      </c>
    </row>
    <row r="70" spans="1:25" s="8" customFormat="1" ht="13.2" hidden="1" x14ac:dyDescent="0.25">
      <c r="A70" s="22" t="s">
        <v>60</v>
      </c>
      <c r="C70" s="13"/>
      <c r="D70" s="112" t="s">
        <v>60</v>
      </c>
      <c r="E70" s="175"/>
      <c r="F70" s="175"/>
      <c r="G70" s="175"/>
      <c r="H70" s="15"/>
      <c r="I70" s="18"/>
      <c r="J70" s="19"/>
      <c r="K70" s="19"/>
      <c r="L70" s="19"/>
      <c r="M70" s="19"/>
      <c r="N70" s="19"/>
      <c r="Q70"/>
      <c r="R70"/>
      <c r="S70"/>
      <c r="T70"/>
      <c r="U70"/>
      <c r="V70"/>
      <c r="X70">
        <v>87</v>
      </c>
      <c r="Y70">
        <v>48</v>
      </c>
    </row>
    <row r="71" spans="1:25" s="8" customFormat="1" ht="13.2" hidden="1" x14ac:dyDescent="0.25">
      <c r="A71" s="22" t="s">
        <v>60</v>
      </c>
      <c r="C71" s="13"/>
      <c r="D71" s="112" t="s">
        <v>60</v>
      </c>
      <c r="E71" s="175"/>
      <c r="F71" s="175"/>
      <c r="G71" s="175"/>
      <c r="H71" s="15"/>
      <c r="I71" s="18"/>
      <c r="J71" s="19"/>
      <c r="K71" s="19"/>
      <c r="L71" s="19"/>
      <c r="M71" s="19"/>
      <c r="N71" s="19"/>
      <c r="Q71"/>
      <c r="R71"/>
      <c r="S71"/>
      <c r="T71"/>
      <c r="U71"/>
      <c r="V71"/>
      <c r="X71">
        <v>88</v>
      </c>
      <c r="Y71">
        <v>48</v>
      </c>
    </row>
    <row r="72" spans="1:25" s="8" customFormat="1" ht="13.2" x14ac:dyDescent="0.25">
      <c r="A72" s="22" t="s">
        <v>60</v>
      </c>
      <c r="C72" s="13"/>
      <c r="D72" s="112" t="s">
        <v>60</v>
      </c>
      <c r="E72" s="175"/>
      <c r="F72" s="175"/>
      <c r="G72" s="175"/>
      <c r="H72" s="15"/>
      <c r="I72" s="18"/>
      <c r="J72" s="19"/>
      <c r="K72" s="19"/>
      <c r="L72" s="19"/>
      <c r="M72" s="19"/>
      <c r="N72" s="19"/>
      <c r="Q72"/>
      <c r="R72"/>
      <c r="S72"/>
      <c r="T72"/>
      <c r="U72"/>
      <c r="V72"/>
      <c r="X72">
        <v>89</v>
      </c>
      <c r="Y72">
        <v>48</v>
      </c>
    </row>
    <row r="73" spans="1:25" s="8" customFormat="1" ht="13.2" x14ac:dyDescent="0.25">
      <c r="A73" s="22" t="s">
        <v>60</v>
      </c>
      <c r="C73" s="13"/>
      <c r="D73" s="112" t="s">
        <v>60</v>
      </c>
      <c r="E73" s="175"/>
      <c r="F73" s="175"/>
      <c r="G73" s="175"/>
      <c r="H73" s="15"/>
      <c r="I73" s="18"/>
      <c r="J73" s="19"/>
      <c r="K73" s="19"/>
      <c r="L73" s="19"/>
      <c r="M73" s="19"/>
      <c r="N73" s="19"/>
      <c r="Q73"/>
      <c r="R73"/>
      <c r="S73"/>
      <c r="T73"/>
      <c r="U73"/>
      <c r="V73"/>
      <c r="X73">
        <v>90</v>
      </c>
      <c r="Y73">
        <v>48</v>
      </c>
    </row>
    <row r="74" spans="1:25" s="8" customFormat="1" ht="13.8" thickBot="1" x14ac:dyDescent="0.3">
      <c r="A74" s="6" t="s">
        <v>60</v>
      </c>
      <c r="C74" s="13"/>
      <c r="D74" s="113" t="s">
        <v>67</v>
      </c>
      <c r="E74" s="209">
        <f>G33-SUM(E43:G73)</f>
        <v>0</v>
      </c>
      <c r="F74" s="209"/>
      <c r="G74" s="209"/>
      <c r="H74" s="15"/>
      <c r="I74" s="18"/>
      <c r="J74" s="19"/>
      <c r="K74" s="19"/>
      <c r="L74" s="19"/>
      <c r="M74" s="19"/>
      <c r="N74" s="19"/>
      <c r="Q74"/>
      <c r="R74"/>
      <c r="S74"/>
      <c r="T74"/>
      <c r="U74"/>
      <c r="V74"/>
      <c r="X74">
        <v>91</v>
      </c>
      <c r="Y74">
        <v>48</v>
      </c>
    </row>
    <row r="75" spans="1:25" s="8" customFormat="1" ht="13.8" thickBot="1" x14ac:dyDescent="0.3">
      <c r="A75" s="6" t="s">
        <v>65</v>
      </c>
      <c r="C75" s="13"/>
      <c r="D75" s="121" t="s">
        <v>21</v>
      </c>
      <c r="E75" s="177">
        <f>SUM(E43:G74)</f>
        <v>0</v>
      </c>
      <c r="F75" s="178"/>
      <c r="G75" s="179"/>
      <c r="H75" s="15"/>
      <c r="I75" s="18"/>
      <c r="J75" s="19"/>
      <c r="K75" s="19"/>
      <c r="L75" s="19"/>
      <c r="M75" s="19"/>
      <c r="N75" s="19"/>
      <c r="Q75"/>
      <c r="R75"/>
      <c r="S75"/>
      <c r="T75"/>
      <c r="U75"/>
      <c r="V75"/>
      <c r="X75">
        <v>92</v>
      </c>
      <c r="Y75">
        <v>48</v>
      </c>
    </row>
    <row r="76" spans="1:25" s="8" customFormat="1" ht="13.8" thickBot="1" x14ac:dyDescent="0.3">
      <c r="A76" s="7" t="s">
        <v>66</v>
      </c>
      <c r="C76" s="9">
        <f>IFERROR(ROUND(IF(C28&gt;0,R41-G35-SUM(C33:C75)-U31,R41-SUM(C33:C75)-U31),0),0)</f>
        <v>0</v>
      </c>
      <c r="E76" s="15"/>
      <c r="F76" s="15"/>
      <c r="G76" s="15"/>
      <c r="H76" s="15"/>
      <c r="I76" s="18"/>
      <c r="J76" s="19"/>
      <c r="K76" s="19"/>
      <c r="L76" s="19"/>
      <c r="M76" s="19"/>
      <c r="N76" s="19"/>
      <c r="Q76"/>
      <c r="R76"/>
      <c r="S76"/>
      <c r="T76"/>
      <c r="U76"/>
      <c r="V76"/>
      <c r="X76">
        <v>93</v>
      </c>
      <c r="Y76">
        <v>48</v>
      </c>
    </row>
    <row r="77" spans="1:25" s="8" customFormat="1" ht="13.8" thickBot="1" x14ac:dyDescent="0.3">
      <c r="A77" s="11" t="s">
        <v>68</v>
      </c>
      <c r="C77" s="12">
        <f>SUM(C33:C76)</f>
        <v>0</v>
      </c>
      <c r="E77" s="15"/>
      <c r="F77" s="15"/>
      <c r="G77" s="15"/>
      <c r="H77" s="15"/>
      <c r="I77" s="18"/>
      <c r="J77" s="19"/>
      <c r="K77" s="19"/>
      <c r="L77" s="19"/>
      <c r="M77" s="19"/>
      <c r="N77" s="19"/>
      <c r="Q77"/>
      <c r="R77"/>
      <c r="S77"/>
      <c r="T77"/>
      <c r="U77"/>
      <c r="V77"/>
    </row>
    <row r="78" spans="1:25" s="8" customFormat="1" ht="13.2" x14ac:dyDescent="0.25">
      <c r="E78" s="15"/>
      <c r="F78" s="15"/>
      <c r="G78" s="15"/>
      <c r="H78" s="15"/>
      <c r="I78" s="18"/>
      <c r="J78" s="19"/>
      <c r="K78" s="19"/>
      <c r="L78" s="19"/>
      <c r="M78" s="19"/>
      <c r="N78" s="19"/>
      <c r="Q78"/>
      <c r="R78"/>
      <c r="S78"/>
      <c r="T78"/>
      <c r="U78"/>
      <c r="V78"/>
    </row>
    <row r="79" spans="1:25" s="8" customFormat="1" ht="12.75" hidden="1" customHeight="1" x14ac:dyDescent="0.25">
      <c r="A79"/>
      <c r="B79"/>
      <c r="C79"/>
      <c r="D79"/>
      <c r="E79"/>
      <c r="F79"/>
      <c r="G79"/>
      <c r="I79" s="19"/>
      <c r="J79" s="19"/>
      <c r="K79" s="19"/>
      <c r="L79" s="19"/>
      <c r="M79" s="19"/>
      <c r="N79" s="19"/>
      <c r="Q79"/>
      <c r="R79"/>
      <c r="S79"/>
      <c r="T79"/>
      <c r="U79"/>
      <c r="V79"/>
    </row>
    <row r="80" spans="1:25" s="8" customFormat="1" ht="13.5" hidden="1" customHeight="1" thickBot="1" x14ac:dyDescent="0.3">
      <c r="A80"/>
      <c r="B80"/>
      <c r="C80"/>
      <c r="D80"/>
      <c r="E80"/>
      <c r="F80"/>
      <c r="G80"/>
      <c r="I80" s="19"/>
      <c r="J80" s="19"/>
      <c r="K80" s="19"/>
      <c r="L80" s="19"/>
      <c r="M80" s="19"/>
      <c r="N80" s="19"/>
      <c r="Q80"/>
      <c r="R80"/>
      <c r="S80"/>
      <c r="T80"/>
      <c r="U80"/>
      <c r="V80"/>
    </row>
    <row r="81" spans="1:22" s="8" customFormat="1" ht="13.2" hidden="1" x14ac:dyDescent="0.25">
      <c r="A81"/>
      <c r="B81"/>
      <c r="C81"/>
      <c r="D81"/>
      <c r="E81"/>
      <c r="F81"/>
      <c r="G81"/>
      <c r="I81" s="19"/>
      <c r="J81" s="19"/>
      <c r="K81" s="19"/>
      <c r="L81" s="19"/>
      <c r="M81" s="19"/>
      <c r="N81" s="19"/>
      <c r="Q81"/>
      <c r="R81"/>
      <c r="S81"/>
      <c r="T81"/>
      <c r="U81"/>
      <c r="V81"/>
    </row>
    <row r="82" spans="1:22" s="8" customFormat="1" ht="13.2" hidden="1" x14ac:dyDescent="0.25">
      <c r="A82"/>
      <c r="B82"/>
      <c r="C82"/>
      <c r="D82"/>
      <c r="E82"/>
      <c r="F82"/>
      <c r="G82"/>
      <c r="I82" s="19"/>
      <c r="J82" s="19"/>
      <c r="K82" s="19"/>
      <c r="L82" s="19"/>
      <c r="M82" s="19"/>
      <c r="N82" s="19"/>
      <c r="Q82"/>
      <c r="R82"/>
      <c r="S82"/>
      <c r="T82"/>
      <c r="U82"/>
      <c r="V82"/>
    </row>
    <row r="83" spans="1:22" s="8" customFormat="1" ht="13.2" hidden="1" x14ac:dyDescent="0.25">
      <c r="A83"/>
      <c r="B83"/>
      <c r="C83"/>
      <c r="D83"/>
      <c r="E83"/>
      <c r="F83"/>
      <c r="G83"/>
      <c r="I83" s="19"/>
      <c r="J83" s="19"/>
      <c r="K83" s="19"/>
      <c r="L83" s="19"/>
      <c r="M83" s="19"/>
      <c r="N83" s="19"/>
      <c r="Q83"/>
      <c r="R83"/>
      <c r="S83"/>
      <c r="T83"/>
      <c r="U83"/>
      <c r="V83"/>
    </row>
    <row r="84" spans="1:22" s="8" customFormat="1" ht="13.2" hidden="1" x14ac:dyDescent="0.25">
      <c r="A84"/>
      <c r="B84"/>
      <c r="C84"/>
      <c r="D84"/>
      <c r="E84"/>
      <c r="F84"/>
      <c r="G84"/>
      <c r="I84" s="19"/>
      <c r="J84" s="19"/>
      <c r="K84" s="19"/>
      <c r="L84" s="19"/>
      <c r="M84" s="19"/>
      <c r="N84" s="19"/>
      <c r="Q84"/>
      <c r="R84"/>
      <c r="S84"/>
      <c r="T84"/>
      <c r="U84"/>
      <c r="V84"/>
    </row>
    <row r="85" spans="1:22" s="8" customFormat="1" ht="13.2" hidden="1" x14ac:dyDescent="0.25">
      <c r="A85"/>
      <c r="B85"/>
      <c r="C85"/>
      <c r="D85"/>
      <c r="E85"/>
      <c r="F85"/>
      <c r="G85"/>
      <c r="I85" s="19"/>
      <c r="J85" s="19"/>
      <c r="K85" s="19"/>
      <c r="L85" s="19"/>
      <c r="M85" s="19"/>
      <c r="N85" s="19"/>
      <c r="Q85"/>
      <c r="R85"/>
      <c r="S85"/>
      <c r="T85"/>
      <c r="U85"/>
      <c r="V85"/>
    </row>
    <row r="86" spans="1:22" s="8" customFormat="1" ht="12.75" hidden="1" customHeight="1" x14ac:dyDescent="0.25">
      <c r="A86"/>
      <c r="B86"/>
      <c r="C86"/>
      <c r="D86"/>
      <c r="E86"/>
      <c r="F86"/>
      <c r="G86"/>
      <c r="I86" s="19"/>
      <c r="J86" s="19"/>
      <c r="K86" s="19"/>
      <c r="L86" s="19"/>
      <c r="M86" s="19"/>
      <c r="N86" s="19"/>
      <c r="Q86"/>
      <c r="R86"/>
      <c r="S86"/>
      <c r="T86"/>
      <c r="U86"/>
      <c r="V86"/>
    </row>
    <row r="87" spans="1:22" s="8" customFormat="1" ht="12.75" hidden="1" customHeight="1" x14ac:dyDescent="0.25">
      <c r="A87"/>
      <c r="B87"/>
      <c r="C87"/>
      <c r="D87"/>
      <c r="E87"/>
      <c r="F87"/>
      <c r="G87"/>
      <c r="I87" s="19"/>
      <c r="J87" s="19"/>
      <c r="K87" s="19"/>
      <c r="L87" s="19"/>
      <c r="M87" s="19"/>
      <c r="N87" s="19"/>
      <c r="Q87"/>
      <c r="R87"/>
      <c r="S87"/>
      <c r="T87"/>
      <c r="U87"/>
      <c r="V87"/>
    </row>
    <row r="88" spans="1:22" s="8" customFormat="1" ht="12.75" hidden="1" customHeight="1" x14ac:dyDescent="0.25">
      <c r="A88"/>
      <c r="B88"/>
      <c r="C88"/>
      <c r="D88"/>
      <c r="E88"/>
      <c r="F88"/>
      <c r="G88"/>
      <c r="I88" s="19"/>
      <c r="J88" s="19"/>
      <c r="K88" s="19"/>
      <c r="L88" s="19"/>
      <c r="M88" s="19"/>
      <c r="N88" s="19"/>
      <c r="Q88"/>
      <c r="R88"/>
      <c r="S88"/>
      <c r="T88"/>
      <c r="U88"/>
      <c r="V88"/>
    </row>
  </sheetData>
  <sheetProtection algorithmName="SHA-512" hashValue="V0IsB/+SRUrimvv34ZTGPwHLrwqFkSLWHtaAxUlGwLXyERTBUo8UBQWhP86wew4+7pmmtvPtIBXxkDeDuy6Wjg==" saltValue="YpQKEk42Nj4HSXKJnIh+zA==" spinCount="100000" sheet="1" objects="1" scenarios="1" formatColumns="0" formatRows="0" insertColumns="0" insertRows="0" selectLockedCells="1"/>
  <mergeCells count="60">
    <mergeCell ref="E73:G73"/>
    <mergeCell ref="E74:G74"/>
    <mergeCell ref="E75:G75"/>
    <mergeCell ref="E68:G68"/>
    <mergeCell ref="E69:G69"/>
    <mergeCell ref="E70:G70"/>
    <mergeCell ref="E71:G71"/>
    <mergeCell ref="E72:G72"/>
    <mergeCell ref="E63:G63"/>
    <mergeCell ref="E64:G64"/>
    <mergeCell ref="E65:G65"/>
    <mergeCell ref="E66:G66"/>
    <mergeCell ref="E67:G67"/>
    <mergeCell ref="E58:G58"/>
    <mergeCell ref="E59:G59"/>
    <mergeCell ref="E60:G60"/>
    <mergeCell ref="E61:G61"/>
    <mergeCell ref="E62:G62"/>
    <mergeCell ref="E53:G53"/>
    <mergeCell ref="E54:G54"/>
    <mergeCell ref="E55:G55"/>
    <mergeCell ref="E56:G56"/>
    <mergeCell ref="E57:G57"/>
    <mergeCell ref="E48:G48"/>
    <mergeCell ref="E49:G49"/>
    <mergeCell ref="E50:G50"/>
    <mergeCell ref="E51:G51"/>
    <mergeCell ref="E52:G52"/>
    <mergeCell ref="E43:G43"/>
    <mergeCell ref="E44:G44"/>
    <mergeCell ref="E45:G45"/>
    <mergeCell ref="E46:G46"/>
    <mergeCell ref="E47:G47"/>
    <mergeCell ref="B8:H8"/>
    <mergeCell ref="B7:D7"/>
    <mergeCell ref="D2:E2"/>
    <mergeCell ref="B5:D5"/>
    <mergeCell ref="F5:G5"/>
    <mergeCell ref="B6:D6"/>
    <mergeCell ref="F6:G6"/>
    <mergeCell ref="B11:C11"/>
    <mergeCell ref="B20:C21"/>
    <mergeCell ref="D20:D21"/>
    <mergeCell ref="E11:G11"/>
    <mergeCell ref="J16:N21"/>
    <mergeCell ref="J10:N15"/>
    <mergeCell ref="E20:F21"/>
    <mergeCell ref="G20:G21"/>
    <mergeCell ref="J26:N27"/>
    <mergeCell ref="J24:N25"/>
    <mergeCell ref="J38:N42"/>
    <mergeCell ref="E38:G39"/>
    <mergeCell ref="D40:G41"/>
    <mergeCell ref="D42:G42"/>
    <mergeCell ref="C25:D25"/>
    <mergeCell ref="C26:D26"/>
    <mergeCell ref="E26:G26"/>
    <mergeCell ref="C27:D27"/>
    <mergeCell ref="E33:F34"/>
    <mergeCell ref="G33:G34"/>
  </mergeCells>
  <conditionalFormatting sqref="C28">
    <cfRule type="cellIs" dxfId="39" priority="10" operator="equal">
      <formula>$A$28&lt;&gt;"Aantal uur verlof"</formula>
    </cfRule>
    <cfRule type="cellIs" dxfId="38" priority="11" operator="equal">
      <formula>""""""</formula>
    </cfRule>
    <cfRule type="cellIs" dxfId="37" priority="12" operator="between">
      <formula>1</formula>
      <formula>500</formula>
    </cfRule>
  </conditionalFormatting>
  <conditionalFormatting sqref="C27:D27">
    <cfRule type="containsText" dxfId="36" priority="74" operator="containsText" text="e">
      <formula>NOT(ISERROR(SEARCH("e",C27)))</formula>
    </cfRule>
    <cfRule type="expression" dxfId="29" priority="75">
      <formula>$A$27&lt;&gt;""</formula>
    </cfRule>
  </conditionalFormatting>
  <conditionalFormatting sqref="E74">
    <cfRule type="cellIs" dxfId="35" priority="1" operator="lessThan">
      <formula>0</formula>
    </cfRule>
  </conditionalFormatting>
  <conditionalFormatting sqref="G20:G21">
    <cfRule type="containsText" dxfId="34" priority="3" operator="containsText" text="u">
      <formula>NOT(ISERROR(SEARCH("u",G20)))</formula>
    </cfRule>
    <cfRule type="cellIs" dxfId="33" priority="4" operator="equal">
      <formula>$A$28&lt;&gt;"Aantal uur verlof"</formula>
    </cfRule>
    <cfRule type="cellIs" dxfId="32" priority="5" operator="equal">
      <formula>$E$25&lt;&gt;"Werktijdfactor verlof"</formula>
    </cfRule>
  </conditionalFormatting>
  <conditionalFormatting sqref="G25">
    <cfRule type="cellIs" dxfId="31" priority="6" operator="equal">
      <formula>$C$25&lt;&gt;"Ja"</formula>
    </cfRule>
    <cfRule type="cellIs" dxfId="30" priority="7" operator="between">
      <formula>0.0001</formula>
      <formula>2</formula>
    </cfRule>
  </conditionalFormatting>
  <dataValidations count="3">
    <dataValidation type="list" allowBlank="1" showInputMessage="1" showErrorMessage="1" sqref="C27:D27" xr:uid="{00000000-0002-0000-0300-000000000000}">
      <formula1>$S$20:$S$22</formula1>
    </dataValidation>
    <dataValidation type="list" allowBlank="1" showInputMessage="1" showErrorMessage="1" sqref="C25 D24" xr:uid="{00000000-0002-0000-0300-000001000000}">
      <formula1>"Ja,Nee"</formula1>
    </dataValidation>
    <dataValidation type="whole" allowBlank="1" showInputMessage="1" showErrorMessage="1" errorTitle="Foutieve invoer" error="Het aantal uur verlof past niet binnen uw budget" sqref="C28" xr:uid="{00000000-0002-0000-0300-000002000000}">
      <formula1>0</formula1>
      <formula2>IF(C27="Overgangsregeling 56+",ROUND(340*LEFT(D20,2)/40,0),IF(C27="Overgangsregeling 52+",ROUND(170*LEFT(D20,2)/40,0),IF(C27="Basis en bijzonder budget",ROUND(170*LEFT(D20,2)/40,0),"")))</formula2>
    </dataValidation>
  </dataValidations>
  <pageMargins left="0.7" right="0.7" top="0.75" bottom="0.75" header="0.3" footer="0.3"/>
  <pageSetup paperSize="9" orientation="portrait" horizontalDpi="1200" verticalDpi="1200" r:id="rId1"/>
  <ignoredErrors>
    <ignoredError sqref="G13:G17"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AF478-BA11-47BA-BB1C-1C4435DBF138}">
  <dimension ref="A1:U141"/>
  <sheetViews>
    <sheetView zoomScaleNormal="100" workbookViewId="0">
      <selection activeCell="C34" sqref="C34:D34"/>
    </sheetView>
  </sheetViews>
  <sheetFormatPr defaultColWidth="0" defaultRowHeight="12.75" customHeight="1" zeroHeight="1" x14ac:dyDescent="0.25"/>
  <cols>
    <col min="1" max="1" width="12.33203125" customWidth="1"/>
    <col min="2" max="3" width="14.33203125" customWidth="1"/>
    <col min="4" max="4" width="11.33203125" customWidth="1"/>
    <col min="5" max="6" width="14.33203125" customWidth="1"/>
    <col min="7" max="8" width="10.33203125" customWidth="1"/>
    <col min="9" max="9" width="6.33203125" customWidth="1"/>
    <col min="10" max="10" width="2" style="19" customWidth="1"/>
    <col min="11" max="15" width="13.6640625" style="8" customWidth="1"/>
    <col min="16" max="16" width="9.33203125" hidden="1" customWidth="1"/>
    <col min="17" max="18" width="9.44140625" hidden="1" customWidth="1"/>
    <col min="19" max="20" width="16.88671875" hidden="1" customWidth="1"/>
    <col min="21" max="16384" width="9.33203125" hidden="1"/>
  </cols>
  <sheetData>
    <row r="1" spans="1:19" ht="13.2" x14ac:dyDescent="0.25">
      <c r="A1" s="84" t="str">
        <f>'wtf OP, obv dagdelen onderbouw'!A1</f>
        <v>Versie mei 2026</v>
      </c>
      <c r="B1" s="8"/>
      <c r="C1" s="8"/>
      <c r="D1" s="8"/>
      <c r="E1" s="8"/>
      <c r="F1" s="8"/>
      <c r="G1" s="8"/>
      <c r="H1" s="8"/>
      <c r="K1" s="19"/>
      <c r="L1" s="19"/>
      <c r="M1" s="19"/>
      <c r="N1" s="19"/>
      <c r="O1" s="19"/>
      <c r="S1" s="24"/>
    </row>
    <row r="2" spans="1:19" ht="17.399999999999999" x14ac:dyDescent="0.3">
      <c r="A2" s="23" t="s">
        <v>69</v>
      </c>
      <c r="B2" s="8"/>
      <c r="C2" s="8"/>
      <c r="D2" s="216" t="str">
        <f>'wtf OP, obv lesuren'!D2</f>
        <v>2026-2027</v>
      </c>
      <c r="E2" s="216"/>
      <c r="F2" s="8"/>
      <c r="G2" s="8"/>
      <c r="H2" s="8"/>
      <c r="I2" s="8"/>
      <c r="K2" s="19"/>
      <c r="L2" s="19"/>
      <c r="M2" s="19"/>
      <c r="N2" s="19"/>
      <c r="O2" s="19"/>
      <c r="S2" s="24"/>
    </row>
    <row r="3" spans="1:19" ht="13.2" x14ac:dyDescent="0.25">
      <c r="A3" s="8"/>
      <c r="B3" s="8"/>
      <c r="C3" s="8"/>
      <c r="D3" s="8"/>
      <c r="E3" s="8"/>
      <c r="F3" s="8"/>
      <c r="G3" s="8"/>
      <c r="H3" s="8"/>
      <c r="I3" s="8"/>
      <c r="K3" s="19"/>
      <c r="L3" s="19"/>
      <c r="M3" s="19"/>
      <c r="N3" s="19"/>
      <c r="O3" s="19"/>
    </row>
    <row r="4" spans="1:19" ht="13.2" x14ac:dyDescent="0.25">
      <c r="A4" s="25" t="s">
        <v>1</v>
      </c>
      <c r="B4" s="8"/>
      <c r="C4" s="8"/>
      <c r="D4" s="8"/>
      <c r="E4" s="25" t="s">
        <v>2</v>
      </c>
      <c r="F4" s="8"/>
      <c r="G4" s="8"/>
      <c r="H4" s="8"/>
      <c r="I4" s="8"/>
      <c r="K4" s="19"/>
      <c r="L4" s="19"/>
      <c r="M4" s="19"/>
      <c r="N4" s="19"/>
      <c r="O4" s="19"/>
    </row>
    <row r="5" spans="1:19" ht="13.2" x14ac:dyDescent="0.25">
      <c r="A5" s="8" t="s">
        <v>3</v>
      </c>
      <c r="B5" s="153"/>
      <c r="C5" s="153"/>
      <c r="D5" s="153"/>
      <c r="E5" s="8" t="s">
        <v>4</v>
      </c>
      <c r="F5" s="153"/>
      <c r="G5" s="153"/>
      <c r="H5" s="6"/>
      <c r="I5" s="8"/>
      <c r="K5" s="19"/>
      <c r="L5" s="19"/>
      <c r="M5" s="19"/>
      <c r="N5" s="19"/>
      <c r="O5" s="19"/>
    </row>
    <row r="6" spans="1:19" ht="13.2" x14ac:dyDescent="0.25">
      <c r="A6" s="8" t="s">
        <v>5</v>
      </c>
      <c r="B6" s="153"/>
      <c r="C6" s="153"/>
      <c r="D6" s="153"/>
      <c r="E6" s="8" t="s">
        <v>6</v>
      </c>
      <c r="F6" s="153"/>
      <c r="G6" s="153"/>
      <c r="H6" s="6"/>
      <c r="I6" s="8"/>
      <c r="K6" s="19"/>
      <c r="L6" s="19"/>
      <c r="M6" s="19"/>
      <c r="N6" s="19"/>
      <c r="O6" s="19"/>
    </row>
    <row r="7" spans="1:19" ht="13.2" x14ac:dyDescent="0.25">
      <c r="A7" s="8" t="s">
        <v>7</v>
      </c>
      <c r="B7" s="153"/>
      <c r="C7" s="153"/>
      <c r="D7" s="153"/>
      <c r="E7" s="8"/>
      <c r="F7" s="8"/>
      <c r="G7" s="8"/>
      <c r="H7" s="8"/>
      <c r="I7" s="8"/>
      <c r="K7" s="19"/>
      <c r="L7" s="19"/>
      <c r="M7" s="19"/>
      <c r="N7" s="19"/>
      <c r="O7" s="19"/>
      <c r="S7" s="11"/>
    </row>
    <row r="8" spans="1:19" ht="13.8" thickBot="1" x14ac:dyDescent="0.3">
      <c r="A8" s="27"/>
      <c r="B8" s="27"/>
      <c r="C8" s="27"/>
      <c r="D8" s="27"/>
      <c r="E8" s="27"/>
      <c r="F8" s="27"/>
      <c r="G8" s="27"/>
      <c r="H8" s="27"/>
      <c r="I8" s="27"/>
      <c r="J8" s="28"/>
      <c r="K8" s="28"/>
      <c r="L8" s="28"/>
      <c r="M8" s="28"/>
      <c r="N8" s="28"/>
      <c r="O8" s="28"/>
    </row>
    <row r="9" spans="1:19" ht="13.8" thickBot="1" x14ac:dyDescent="0.3">
      <c r="A9" s="8"/>
      <c r="B9" s="8"/>
      <c r="C9" s="8"/>
      <c r="D9" s="8"/>
      <c r="E9" s="8"/>
      <c r="F9" s="8"/>
      <c r="G9" s="8"/>
      <c r="H9" s="8"/>
      <c r="I9" s="8"/>
      <c r="K9" s="29" t="s">
        <v>10</v>
      </c>
      <c r="L9" s="29"/>
      <c r="M9" s="29"/>
      <c r="N9" s="29"/>
      <c r="O9" s="29"/>
    </row>
    <row r="10" spans="1:19" ht="12.75" customHeight="1" x14ac:dyDescent="0.25">
      <c r="A10" s="210" t="s">
        <v>104</v>
      </c>
      <c r="B10" s="210"/>
      <c r="C10" s="210"/>
      <c r="D10" s="211"/>
      <c r="E10" s="213" t="str">
        <f>IF(D10&gt;0,FLOOR(D10*40,1)&amp;" uur"&amp;IF((ROUND((D10*40-FLOOR(D10*40,1))*60,0))=0,""," en "&amp;ROUND((D10*40-FLOOR(D10*40,1))*60,0)&amp;" minuten"),"")</f>
        <v/>
      </c>
      <c r="F10" s="214"/>
      <c r="G10" s="8"/>
      <c r="H10" s="8"/>
      <c r="I10" s="8"/>
      <c r="K10" s="147" t="s">
        <v>105</v>
      </c>
      <c r="L10" s="147"/>
      <c r="M10" s="147"/>
      <c r="N10" s="147"/>
      <c r="O10" s="147"/>
    </row>
    <row r="11" spans="1:19" ht="12.75" customHeight="1" thickBot="1" x14ac:dyDescent="0.3">
      <c r="A11" s="210"/>
      <c r="B11" s="210"/>
      <c r="C11" s="210"/>
      <c r="D11" s="212"/>
      <c r="E11" s="213"/>
      <c r="F11" s="214"/>
      <c r="G11" s="8"/>
      <c r="H11" s="8"/>
      <c r="I11" s="8"/>
      <c r="K11" s="147"/>
      <c r="L11" s="147"/>
      <c r="M11" s="147"/>
      <c r="N11" s="147"/>
      <c r="O11" s="147"/>
    </row>
    <row r="12" spans="1:19" ht="12.75" customHeight="1" x14ac:dyDescent="0.25">
      <c r="A12" s="131"/>
      <c r="B12" s="215" t="str">
        <f>IF(C36&gt;0,"Werktijdfactor exclusief verlof duurzame inzetbaarheid:",IF(G33&gt;0,"Werktijdfactor exclusief ouderschapsverlof:",""))</f>
        <v/>
      </c>
      <c r="C12" s="215"/>
      <c r="D12" s="215"/>
      <c r="E12" s="215" t="str">
        <f>IF(C36&gt;0,FLOOR((D10-(G52/1659))*40,1)&amp;" uur"&amp;IF((ROUND(((D10-(G52/1659))*40-FLOOR((D10-(G52/1659))*40,1))*60,0))=0,""," en "&amp;ROUND(((D10-(G52/1659))*40-FLOOR((D10-(G52/1659))*40,1))*60,0)&amp;" minuten"),IF(G33&gt;0,FLOOR((D10-(G52/1659))*40,1)&amp;" uur"&amp;IF((ROUND(((D10-(G52/1659))*40-FLOOR((D10-(G52/1659))*40,1))*60,0))=0,""," en "&amp;ROUND(((D10-(G52/1659))*40-FLOOR((D10-(G52/1659))*40,1))*60,0)&amp;" minuten"),""))</f>
        <v/>
      </c>
      <c r="F12" s="215"/>
      <c r="G12" s="8"/>
      <c r="H12" s="8"/>
      <c r="I12" s="8"/>
      <c r="K12" s="147"/>
      <c r="L12" s="147"/>
      <c r="M12" s="147"/>
      <c r="N12" s="147"/>
      <c r="O12" s="147"/>
    </row>
    <row r="13" spans="1:19" ht="12.75" customHeight="1" x14ac:dyDescent="0.25">
      <c r="A13" s="131"/>
      <c r="B13" s="215"/>
      <c r="C13" s="215"/>
      <c r="D13" s="215"/>
      <c r="E13" s="215"/>
      <c r="F13" s="215"/>
      <c r="G13" s="8"/>
      <c r="H13" s="8"/>
      <c r="I13" s="8"/>
      <c r="K13" s="119"/>
      <c r="L13" s="119"/>
      <c r="M13" s="119"/>
      <c r="N13" s="119"/>
      <c r="O13" s="119"/>
    </row>
    <row r="14" spans="1:19" ht="12.75" customHeight="1" x14ac:dyDescent="0.25">
      <c r="A14" s="131"/>
      <c r="B14" s="131"/>
      <c r="C14" s="131"/>
      <c r="D14" s="132"/>
      <c r="E14" s="132"/>
      <c r="F14" s="132"/>
      <c r="G14" s="8"/>
      <c r="H14" s="8"/>
      <c r="I14" s="8"/>
      <c r="K14" s="173" t="s">
        <v>120</v>
      </c>
      <c r="L14" s="173"/>
      <c r="M14" s="173"/>
      <c r="N14" s="173"/>
      <c r="O14" s="173"/>
    </row>
    <row r="15" spans="1:19" ht="12.75" customHeight="1" x14ac:dyDescent="0.25">
      <c r="A15" s="8" t="s">
        <v>106</v>
      </c>
      <c r="B15" s="11"/>
      <c r="C15" s="4"/>
      <c r="D15" s="8" t="s">
        <v>9</v>
      </c>
      <c r="E15" s="8"/>
      <c r="F15" s="116"/>
      <c r="G15" s="8"/>
      <c r="H15" s="8"/>
      <c r="I15" s="8"/>
      <c r="K15" s="173"/>
      <c r="L15" s="173"/>
      <c r="M15" s="173"/>
      <c r="N15" s="173"/>
      <c r="O15" s="173"/>
    </row>
    <row r="16" spans="1:19" ht="13.8" thickBot="1" x14ac:dyDescent="0.3">
      <c r="A16" s="27"/>
      <c r="B16" s="27"/>
      <c r="C16" s="27"/>
      <c r="D16" s="27"/>
      <c r="E16" s="27"/>
      <c r="F16" s="27"/>
      <c r="G16" s="27"/>
      <c r="H16" s="27"/>
      <c r="I16" s="27"/>
      <c r="J16" s="28"/>
      <c r="K16" s="134"/>
      <c r="L16" s="134"/>
      <c r="M16" s="134"/>
      <c r="N16" s="134"/>
      <c r="O16" s="134"/>
    </row>
    <row r="17" spans="1:18" ht="13.2" x14ac:dyDescent="0.25">
      <c r="A17" s="8"/>
      <c r="B17" s="8"/>
      <c r="C17" s="8"/>
      <c r="D17" s="8"/>
      <c r="E17" s="8"/>
      <c r="F17" s="8"/>
      <c r="G17" s="8"/>
      <c r="H17" s="8"/>
      <c r="I17" s="8"/>
      <c r="K17" s="221"/>
      <c r="L17" s="221"/>
      <c r="M17" s="221"/>
      <c r="N17" s="221"/>
      <c r="O17" s="221"/>
    </row>
    <row r="18" spans="1:18" ht="12.75" customHeight="1" x14ac:dyDescent="0.25">
      <c r="A18" s="30"/>
      <c r="B18" s="30"/>
      <c r="C18" s="156" t="s">
        <v>12</v>
      </c>
      <c r="D18" s="156"/>
      <c r="E18" s="8"/>
      <c r="F18" s="30"/>
      <c r="G18" s="30"/>
      <c r="H18" s="30"/>
      <c r="I18" s="30"/>
      <c r="K18" s="135"/>
      <c r="L18" s="135"/>
      <c r="M18" s="135"/>
      <c r="N18" s="135"/>
      <c r="O18" s="135"/>
    </row>
    <row r="19" spans="1:18" ht="13.2" x14ac:dyDescent="0.25">
      <c r="B19" s="30"/>
      <c r="C19" s="31" t="s">
        <v>13</v>
      </c>
      <c r="D19" s="31" t="s">
        <v>14</v>
      </c>
      <c r="E19" s="31"/>
      <c r="F19" s="31"/>
      <c r="G19" s="8"/>
      <c r="H19" s="8"/>
      <c r="I19" s="8"/>
      <c r="K19" s="40"/>
      <c r="L19" s="40"/>
      <c r="M19" s="40"/>
      <c r="N19" s="40"/>
      <c r="O19" s="40"/>
    </row>
    <row r="20" spans="1:18" ht="12.75" customHeight="1" x14ac:dyDescent="0.25">
      <c r="A20" s="30"/>
      <c r="B20" s="8" t="s">
        <v>15</v>
      </c>
      <c r="C20" s="137"/>
      <c r="D20" s="2"/>
      <c r="E20" s="138"/>
      <c r="F20" s="138"/>
      <c r="G20" s="138"/>
      <c r="H20" s="138"/>
      <c r="I20" s="138"/>
      <c r="K20" s="147" t="s">
        <v>121</v>
      </c>
      <c r="L20" s="147"/>
      <c r="M20" s="147"/>
      <c r="N20" s="147"/>
      <c r="O20" s="147"/>
    </row>
    <row r="21" spans="1:18" ht="13.2" x14ac:dyDescent="0.25">
      <c r="A21" s="30"/>
      <c r="B21" s="8" t="s">
        <v>16</v>
      </c>
      <c r="C21" s="137"/>
      <c r="D21" s="2"/>
      <c r="E21" s="138"/>
      <c r="F21" s="138"/>
      <c r="G21" s="138"/>
      <c r="H21" s="138"/>
      <c r="I21" s="138"/>
      <c r="K21" s="147"/>
      <c r="L21" s="147"/>
      <c r="M21" s="147"/>
      <c r="N21" s="147"/>
      <c r="O21" s="147"/>
    </row>
    <row r="22" spans="1:18" ht="13.2" x14ac:dyDescent="0.25">
      <c r="A22" s="30"/>
      <c r="B22" s="8" t="s">
        <v>17</v>
      </c>
      <c r="C22" s="137"/>
      <c r="D22" s="2"/>
      <c r="E22" s="138"/>
      <c r="F22" s="138"/>
      <c r="G22" s="138"/>
      <c r="H22" s="138"/>
      <c r="I22" s="138"/>
      <c r="K22" s="147"/>
      <c r="L22" s="147"/>
      <c r="M22" s="147"/>
      <c r="N22" s="147"/>
      <c r="O22" s="147"/>
    </row>
    <row r="23" spans="1:18" ht="12.75" customHeight="1" x14ac:dyDescent="0.25">
      <c r="A23" s="30"/>
      <c r="B23" s="8" t="s">
        <v>19</v>
      </c>
      <c r="C23" s="137"/>
      <c r="D23" s="2"/>
      <c r="E23" s="138"/>
      <c r="F23" s="138"/>
      <c r="G23" s="138"/>
      <c r="H23" s="138"/>
      <c r="I23" s="138"/>
      <c r="K23" s="147"/>
      <c r="L23" s="147"/>
      <c r="M23" s="147"/>
      <c r="N23" s="147"/>
      <c r="O23" s="147"/>
    </row>
    <row r="24" spans="1:18" ht="13.2" x14ac:dyDescent="0.25">
      <c r="A24" s="30"/>
      <c r="B24" s="8" t="s">
        <v>20</v>
      </c>
      <c r="C24" s="137"/>
      <c r="D24" s="2"/>
      <c r="E24" s="138"/>
      <c r="F24" s="138"/>
      <c r="G24" s="138"/>
      <c r="H24" s="138"/>
      <c r="I24" s="138"/>
      <c r="K24" s="40"/>
      <c r="L24" s="40"/>
      <c r="M24" s="40"/>
      <c r="N24" s="40"/>
      <c r="O24" s="40"/>
    </row>
    <row r="25" spans="1:18" ht="13.2" x14ac:dyDescent="0.25">
      <c r="A25" s="30"/>
      <c r="B25" s="11" t="s">
        <v>21</v>
      </c>
      <c r="C25" s="118">
        <f>SUM(C20:C24)</f>
        <v>0</v>
      </c>
      <c r="D25" s="118">
        <f>SUM(D20:D24)</f>
        <v>0</v>
      </c>
      <c r="E25" s="118"/>
      <c r="F25" s="118"/>
      <c r="G25" s="11"/>
      <c r="H25" s="11"/>
      <c r="I25" s="11"/>
      <c r="K25" s="147" t="s">
        <v>122</v>
      </c>
      <c r="L25" s="147"/>
      <c r="M25" s="147"/>
      <c r="N25" s="147"/>
      <c r="O25" s="147"/>
      <c r="Q25" s="129">
        <f ca="1">YEAR(NOW())-YEAR(C34)</f>
        <v>126</v>
      </c>
      <c r="R25">
        <f ca="1">YEAR(NOW())</f>
        <v>2026</v>
      </c>
    </row>
    <row r="26" spans="1:18" ht="12.75" customHeight="1" x14ac:dyDescent="0.25">
      <c r="A26" s="11"/>
      <c r="B26" s="11"/>
      <c r="C26" s="11"/>
      <c r="D26" s="8"/>
      <c r="E26" s="11"/>
      <c r="F26" s="11"/>
      <c r="G26" s="11"/>
      <c r="H26" s="11"/>
      <c r="I26" s="11"/>
      <c r="K26" s="147"/>
      <c r="L26" s="147"/>
      <c r="M26" s="147"/>
      <c r="N26" s="147"/>
      <c r="O26" s="147"/>
      <c r="Q26" s="41">
        <v>21459</v>
      </c>
      <c r="R26" s="41">
        <f ca="1">DATE((R25-57),MONTH(C34),DAY(C34))</f>
        <v>25203</v>
      </c>
    </row>
    <row r="27" spans="1:18" ht="12.75" customHeight="1" x14ac:dyDescent="0.25">
      <c r="A27" s="30" t="s">
        <v>123</v>
      </c>
      <c r="B27" s="11"/>
      <c r="C27" s="11"/>
      <c r="D27" s="8"/>
      <c r="E27" s="11"/>
      <c r="F27" s="11"/>
      <c r="G27" s="11"/>
      <c r="H27" s="11"/>
      <c r="I27" s="11"/>
      <c r="K27" s="147"/>
      <c r="L27" s="147"/>
      <c r="M27" s="147"/>
      <c r="N27" s="147"/>
      <c r="O27" s="147"/>
      <c r="Q27" s="41"/>
      <c r="R27" t="str">
        <f>IF(C34="","",IF(C34&lt;=Q26,"Overgangsregeling 56+",IF(C34&lt;=R26,"Basis en bijzonder budget","")))</f>
        <v/>
      </c>
    </row>
    <row r="28" spans="1:18" ht="12.75" customHeight="1" x14ac:dyDescent="0.25">
      <c r="A28" s="8" t="s">
        <v>124</v>
      </c>
      <c r="B28" s="11"/>
      <c r="C28" s="11"/>
      <c r="D28" s="2"/>
      <c r="E28" s="148"/>
      <c r="F28" s="148"/>
      <c r="G28" s="42"/>
      <c r="H28" s="42"/>
      <c r="I28" s="42"/>
      <c r="K28" s="147"/>
      <c r="L28" s="147"/>
      <c r="M28" s="147"/>
      <c r="N28" s="147"/>
      <c r="O28" s="147"/>
      <c r="R28" t="str">
        <f>IF(C34="","",IF(C34&lt;=Q26,"Basis en bijzonder budget",IF(C34&lt;=R26,"Enkel basis budget","")))</f>
        <v/>
      </c>
    </row>
    <row r="29" spans="1:18" ht="13.8" thickBot="1" x14ac:dyDescent="0.3">
      <c r="A29" s="45"/>
      <c r="B29" s="45"/>
      <c r="C29" s="45"/>
      <c r="D29" s="46"/>
      <c r="E29" s="45"/>
      <c r="F29" s="45"/>
      <c r="G29" s="45"/>
      <c r="H29" s="45"/>
      <c r="I29" s="45"/>
      <c r="J29" s="47"/>
      <c r="K29" s="46"/>
      <c r="L29" s="46"/>
      <c r="M29" s="46"/>
      <c r="N29" s="46"/>
      <c r="O29" s="46"/>
      <c r="R29" t="str">
        <f>IF(C34="","",IF(C34&lt;=Q26,"Enkel basis budget",""))</f>
        <v/>
      </c>
    </row>
    <row r="30" spans="1:18" ht="13.2" x14ac:dyDescent="0.25">
      <c r="A30" s="11"/>
      <c r="B30" s="11"/>
      <c r="C30" s="11"/>
      <c r="D30" s="8"/>
      <c r="E30" s="11"/>
      <c r="F30" s="11"/>
      <c r="G30" s="11"/>
      <c r="H30" s="11"/>
      <c r="I30" s="11"/>
      <c r="J30" s="39"/>
    </row>
    <row r="31" spans="1:18" ht="12.75" customHeight="1" x14ac:dyDescent="0.25">
      <c r="A31" s="11" t="s">
        <v>28</v>
      </c>
      <c r="B31" s="11"/>
      <c r="C31" s="11"/>
      <c r="D31" s="8"/>
      <c r="E31" s="11"/>
      <c r="F31" s="11"/>
      <c r="G31" s="11"/>
      <c r="H31" s="11"/>
      <c r="I31" s="11"/>
      <c r="K31" s="217" t="s">
        <v>29</v>
      </c>
      <c r="L31" s="217"/>
      <c r="M31" s="217"/>
      <c r="N31" s="217"/>
      <c r="O31" s="217"/>
      <c r="Q31" t="s">
        <v>30</v>
      </c>
    </row>
    <row r="32" spans="1:18" ht="13.2" x14ac:dyDescent="0.25">
      <c r="A32" s="8" t="s">
        <v>31</v>
      </c>
      <c r="B32" s="11"/>
      <c r="C32" s="218"/>
      <c r="D32" s="219"/>
      <c r="E32" s="8" t="str">
        <f>IF(C32="ja","Aantal lesuren verlof per jaar","")</f>
        <v/>
      </c>
      <c r="G32" s="5"/>
      <c r="H32" s="5"/>
      <c r="I32" s="11"/>
      <c r="K32" s="217"/>
      <c r="L32" s="217"/>
      <c r="M32" s="217"/>
      <c r="N32" s="217"/>
      <c r="O32" s="217"/>
      <c r="Q32" t="s">
        <v>32</v>
      </c>
    </row>
    <row r="33" spans="1:20" ht="13.2" x14ac:dyDescent="0.25">
      <c r="A33" s="8" t="s">
        <v>33</v>
      </c>
      <c r="B33" s="11"/>
      <c r="C33" s="218"/>
      <c r="D33" s="219"/>
      <c r="E33" s="8" t="str">
        <f>IF(C33="Ja","Werktijdfactor verlof","")</f>
        <v/>
      </c>
      <c r="F33" s="8"/>
      <c r="G33" s="5"/>
      <c r="H33" s="5"/>
      <c r="I33" s="11"/>
      <c r="K33" s="115"/>
      <c r="L33" s="115"/>
      <c r="M33" s="115"/>
      <c r="N33" s="115"/>
      <c r="O33" s="115"/>
    </row>
    <row r="34" spans="1:20" ht="12.75" customHeight="1" x14ac:dyDescent="0.25">
      <c r="A34" s="8" t="s">
        <v>34</v>
      </c>
      <c r="B34" s="11"/>
      <c r="C34" s="200"/>
      <c r="D34" s="201"/>
      <c r="E34" s="220" t="str">
        <f>IF(C36&gt;0,"Verdeling uren verlof duurz. inz.",IF(G33&gt;0,"Verdeling uren ouderschapsverlof",""))</f>
        <v/>
      </c>
      <c r="F34" s="171"/>
      <c r="G34" s="171"/>
      <c r="H34" s="171"/>
      <c r="I34" s="171"/>
      <c r="J34" s="39"/>
      <c r="K34" s="173" t="s">
        <v>99</v>
      </c>
      <c r="L34" s="173"/>
      <c r="M34" s="173"/>
      <c r="N34" s="173"/>
      <c r="O34" s="173"/>
      <c r="Q34" t="s">
        <v>35</v>
      </c>
    </row>
    <row r="35" spans="1:20" ht="13.2" x14ac:dyDescent="0.25">
      <c r="A35" s="8" t="str">
        <f>IF($C$34="","",IF($C$34&lt;$Q$26,"Recht PDI",IF($C$34&lt;=$R$26,"Recht PDI","")))</f>
        <v/>
      </c>
      <c r="B35" s="11"/>
      <c r="C35" s="172"/>
      <c r="D35" s="172"/>
      <c r="E35" s="31" t="str">
        <f>IF(OR(C36&gt;0,G33&gt;0),"Lesuren","")</f>
        <v/>
      </c>
      <c r="F35" s="31" t="str">
        <f>IF(OR(C36&gt;0,G33&gt;0),"v/n-werk","")</f>
        <v/>
      </c>
      <c r="G35" s="31" t="str">
        <f>IF(OR(C36&gt;0,G33&gt;0),"Taakuren","")</f>
        <v/>
      </c>
      <c r="H35" s="31"/>
      <c r="I35" s="50"/>
      <c r="J35" s="39"/>
      <c r="K35" s="173"/>
      <c r="L35" s="173"/>
      <c r="M35" s="173"/>
      <c r="N35" s="173"/>
      <c r="O35" s="173"/>
      <c r="Q35" t="s">
        <v>36</v>
      </c>
      <c r="S35" s="89">
        <f>G33*1659</f>
        <v>0</v>
      </c>
      <c r="T35" s="89"/>
    </row>
    <row r="36" spans="1:20" ht="13.2" x14ac:dyDescent="0.25">
      <c r="A36" s="8" t="str">
        <f>IF(C35="","",IF(C35="Overgangsregeling 52+","Waarvan uren verlof",IF(C35="Overgangsregeling 56+","Waarvan uren verlof",IF(C35="Basis en bijzonder budget","Waarvan uren verlof",""))))</f>
        <v/>
      </c>
      <c r="B36" s="11"/>
      <c r="C36" s="6"/>
      <c r="D36" s="50" t="str">
        <f>IF(C35="Overgangsregeling 56+",ROUND(170*D10,0)&amp;" - "&amp;ROUND(340*D10,0),IF(C35="Overgangsregeling 52+","0 - "&amp;ROUND(170*D10,0),IF(C35="Basis en bijzonder budget","0 - "&amp;ROUND(170*D10,0),"")))</f>
        <v/>
      </c>
      <c r="E36" s="31" t="str">
        <f>IFERROR(ROUND(IF(C36&gt;0,T55,IF(G33&gt;0,S35*S36,"")),0),"")</f>
        <v/>
      </c>
      <c r="F36" s="31" t="str">
        <f>IFERROR(ROUND(IF(C36&gt;0,T56,IF(G33&gt;0,S37*S35,"")),0),"")</f>
        <v/>
      </c>
      <c r="G36" s="31" t="str">
        <f>IFERROR(ROUND(IF(C36&gt;0,T57,IF(G33&gt;0,S40*S35,"")),0),"")</f>
        <v/>
      </c>
      <c r="H36" s="31"/>
      <c r="I36" s="50"/>
      <c r="J36" s="39"/>
      <c r="K36" s="173"/>
      <c r="L36" s="173"/>
      <c r="M36" s="173"/>
      <c r="N36" s="173"/>
      <c r="O36" s="173"/>
      <c r="Q36" s="88">
        <f>ROUND(D25*C15+D28-G32,0)</f>
        <v>0</v>
      </c>
      <c r="R36" s="89"/>
      <c r="S36" s="90" t="e">
        <f>Q36/SUM($Q$36:$Q$40)</f>
        <v>#DIV/0!</v>
      </c>
      <c r="T36" s="89" t="e">
        <f>S36*$S$35</f>
        <v>#DIV/0!</v>
      </c>
    </row>
    <row r="37" spans="1:20" ht="13.8" thickBot="1" x14ac:dyDescent="0.3">
      <c r="A37" s="45"/>
      <c r="B37" s="45"/>
      <c r="C37" s="222" t="str">
        <f>IF(G33&gt;0,"Professionalisering","")</f>
        <v/>
      </c>
      <c r="D37" s="222"/>
      <c r="E37" s="92" t="str">
        <f>IFERROR(ROUND(IF(G33&gt;0,S38*S35,""),0),"")</f>
        <v/>
      </c>
      <c r="F37" s="91" t="str">
        <f>IF(G33&gt;0,"Duurz. inzetb.","")</f>
        <v/>
      </c>
      <c r="G37" s="92" t="str">
        <f>IFERROR(ROUND(IF(G33&gt;0,S39*S35,""),0),"")</f>
        <v/>
      </c>
      <c r="H37" s="92"/>
      <c r="I37" s="45"/>
      <c r="J37" s="47"/>
      <c r="K37" s="174"/>
      <c r="L37" s="174"/>
      <c r="M37" s="174"/>
      <c r="N37" s="174"/>
      <c r="O37" s="174"/>
      <c r="P37" s="11"/>
      <c r="Q37" s="89">
        <f>ROUND(R55*F15,0)</f>
        <v>0</v>
      </c>
      <c r="R37" s="88">
        <f>Q36+Q37</f>
        <v>0</v>
      </c>
      <c r="S37" s="90" t="e">
        <f t="shared" ref="S37:S40" si="0">Q37/SUM($Q$36:$Q$40)</f>
        <v>#DIV/0!</v>
      </c>
      <c r="T37" s="89" t="e">
        <f t="shared" ref="T37:T40" si="1">S37*$S$35</f>
        <v>#DIV/0!</v>
      </c>
    </row>
    <row r="38" spans="1:20" ht="13.2" x14ac:dyDescent="0.25">
      <c r="A38" s="8"/>
      <c r="B38" s="11"/>
      <c r="C38" s="11"/>
      <c r="D38" s="8"/>
      <c r="E38" s="11"/>
      <c r="F38" s="11"/>
      <c r="G38" s="11"/>
      <c r="H38" s="11"/>
      <c r="I38" s="11"/>
      <c r="J38" s="39"/>
      <c r="K38" s="11"/>
      <c r="L38" s="11"/>
      <c r="M38" s="11"/>
      <c r="N38" s="11"/>
      <c r="O38" s="11"/>
      <c r="P38" s="11"/>
      <c r="Q38" s="88">
        <f>ROUND(D10*2*41.475,0)</f>
        <v>0</v>
      </c>
      <c r="R38" s="89"/>
      <c r="S38" s="90" t="e">
        <f t="shared" si="0"/>
        <v>#DIV/0!</v>
      </c>
      <c r="T38" s="89" t="e">
        <f t="shared" si="1"/>
        <v>#DIV/0!</v>
      </c>
    </row>
    <row r="39" spans="1:20" ht="13.2" x14ac:dyDescent="0.25">
      <c r="A39" s="11" t="s">
        <v>125</v>
      </c>
      <c r="B39" s="11"/>
      <c r="C39" s="11"/>
      <c r="D39" s="8"/>
      <c r="E39" s="11"/>
      <c r="F39" s="11"/>
      <c r="G39" s="11"/>
      <c r="H39" s="11"/>
      <c r="I39" s="11"/>
      <c r="J39" s="39"/>
      <c r="K39" s="159" t="s">
        <v>39</v>
      </c>
      <c r="L39" s="159"/>
      <c r="M39" s="159"/>
      <c r="N39" s="159"/>
      <c r="O39" s="159"/>
      <c r="P39" s="11"/>
      <c r="Q39" s="88">
        <f>ROUND(IF(A36="",ROUND(D10*40,0),ROUND(VLOOKUP(C35,$Q$49:$R$53,2,FALSE)*D10,0))-C36,0)</f>
        <v>0</v>
      </c>
      <c r="R39" s="89"/>
      <c r="S39" s="90" t="e">
        <f t="shared" si="0"/>
        <v>#DIV/0!</v>
      </c>
      <c r="T39" s="89" t="e">
        <f t="shared" si="1"/>
        <v>#DIV/0!</v>
      </c>
    </row>
    <row r="40" spans="1:20" ht="13.2" x14ac:dyDescent="0.25">
      <c r="A40" s="6" t="s">
        <v>38</v>
      </c>
      <c r="B40" s="11"/>
      <c r="C40" s="20"/>
      <c r="D40" s="8"/>
      <c r="E40" s="11"/>
      <c r="F40" s="11"/>
      <c r="G40" s="11"/>
      <c r="H40" s="11"/>
      <c r="I40" s="11"/>
      <c r="J40" s="39"/>
      <c r="K40" s="159"/>
      <c r="L40" s="159"/>
      <c r="M40" s="159"/>
      <c r="N40" s="159"/>
      <c r="O40" s="159"/>
      <c r="P40" s="11"/>
      <c r="Q40" s="89">
        <f>IFERROR(ROUND(R57-SUM(C56:C131),0),0)</f>
        <v>0</v>
      </c>
      <c r="R40" s="89"/>
      <c r="S40" s="90" t="e">
        <f t="shared" si="0"/>
        <v>#DIV/0!</v>
      </c>
      <c r="T40" s="89" t="e">
        <f t="shared" si="1"/>
        <v>#DIV/0!</v>
      </c>
    </row>
    <row r="41" spans="1:20" ht="13.2" x14ac:dyDescent="0.25">
      <c r="A41" s="6" t="s">
        <v>40</v>
      </c>
      <c r="B41" s="11"/>
      <c r="C41" s="20"/>
      <c r="D41" s="8"/>
      <c r="E41" s="11"/>
      <c r="F41" s="11"/>
      <c r="G41" s="11"/>
      <c r="H41" s="11"/>
      <c r="I41" s="11"/>
      <c r="J41" s="39"/>
      <c r="K41" s="159"/>
      <c r="L41" s="159"/>
      <c r="M41" s="159"/>
      <c r="N41" s="159"/>
      <c r="O41" s="159"/>
      <c r="P41" s="11"/>
      <c r="Q41" s="11"/>
    </row>
    <row r="42" spans="1:20" ht="13.2" x14ac:dyDescent="0.25">
      <c r="A42" s="6" t="s">
        <v>41</v>
      </c>
      <c r="B42" s="11"/>
      <c r="C42" s="20"/>
      <c r="D42" s="8"/>
      <c r="E42" s="11"/>
      <c r="F42" s="11"/>
      <c r="G42" s="11"/>
      <c r="H42" s="11"/>
      <c r="I42" s="11"/>
      <c r="J42" s="39"/>
      <c r="K42" s="159"/>
      <c r="L42" s="159"/>
      <c r="M42" s="159"/>
      <c r="N42" s="159"/>
      <c r="O42" s="159"/>
      <c r="P42" s="11"/>
      <c r="Q42" s="11"/>
    </row>
    <row r="43" spans="1:20" ht="13.2" x14ac:dyDescent="0.25">
      <c r="A43" s="6" t="s">
        <v>42</v>
      </c>
      <c r="B43" s="11"/>
      <c r="C43" s="20"/>
      <c r="D43" s="8"/>
      <c r="E43" s="11"/>
      <c r="F43" s="11"/>
      <c r="G43" s="11"/>
      <c r="H43" s="11"/>
      <c r="I43" s="11"/>
      <c r="J43" s="39"/>
      <c r="K43" s="39"/>
      <c r="L43" s="39"/>
      <c r="M43" s="39"/>
      <c r="N43" s="39"/>
      <c r="O43" s="39"/>
      <c r="P43" s="11"/>
      <c r="Q43" s="11"/>
    </row>
    <row r="44" spans="1:20" ht="13.2" x14ac:dyDescent="0.25">
      <c r="A44" s="11" t="s">
        <v>21</v>
      </c>
      <c r="B44" s="11"/>
      <c r="C44" s="52">
        <f>SUM(C40:C43)</f>
        <v>0</v>
      </c>
      <c r="D44" s="8"/>
      <c r="E44" s="11"/>
      <c r="F44" s="11"/>
      <c r="G44" s="11"/>
      <c r="H44" s="11"/>
      <c r="I44" s="11"/>
      <c r="J44" s="39"/>
      <c r="K44" s="39"/>
      <c r="L44" s="39"/>
      <c r="M44" s="39"/>
      <c r="N44" s="39"/>
      <c r="O44" s="39"/>
      <c r="P44" s="11"/>
      <c r="Q44" s="11"/>
    </row>
    <row r="45" spans="1:20" ht="13.8" thickBot="1" x14ac:dyDescent="0.3">
      <c r="A45" s="53"/>
      <c r="B45" s="54"/>
      <c r="C45" s="54"/>
      <c r="D45" s="53"/>
      <c r="E45" s="54"/>
      <c r="F45" s="54"/>
      <c r="G45" s="54"/>
      <c r="H45" s="11"/>
      <c r="I45" s="11"/>
      <c r="J45" s="39"/>
      <c r="K45" s="39"/>
      <c r="L45" s="39"/>
      <c r="M45" s="39"/>
      <c r="N45" s="39"/>
      <c r="O45" s="39"/>
      <c r="P45" s="11"/>
      <c r="Q45" s="11"/>
    </row>
    <row r="46" spans="1:20" ht="13.2" x14ac:dyDescent="0.25">
      <c r="A46" s="11"/>
      <c r="B46" s="11"/>
      <c r="C46" s="11"/>
      <c r="D46" s="8"/>
      <c r="E46" s="11"/>
      <c r="F46" s="11"/>
      <c r="G46" s="16"/>
      <c r="H46" s="16"/>
      <c r="I46" s="16"/>
      <c r="K46" s="19"/>
      <c r="L46" s="19"/>
      <c r="M46" s="19"/>
      <c r="N46" s="19"/>
      <c r="O46" s="19"/>
      <c r="Q46" t="str">
        <f>IF(C35="Overgangsregeling 56+",ROUND(340*LEFT(G28,2)/40,0),IF(C35="Overgangsregeling 52+",ROUND(170*LEFT(G28,2)/40,0),IF(C35="Basis en bijzonder budget",ROUND(170*LEFT(G28,2)/40,0),"")))</f>
        <v/>
      </c>
    </row>
    <row r="47" spans="1:20" ht="13.2" x14ac:dyDescent="0.25">
      <c r="A47" s="16" t="s">
        <v>43</v>
      </c>
      <c r="B47" s="11"/>
      <c r="C47" s="11"/>
      <c r="D47" s="8"/>
      <c r="E47" s="11"/>
      <c r="F47" s="11"/>
      <c r="G47" s="16"/>
      <c r="H47" s="16"/>
      <c r="I47" s="16"/>
      <c r="K47" s="19"/>
      <c r="L47" s="19"/>
      <c r="M47" s="19"/>
      <c r="N47" s="19"/>
      <c r="O47" s="19"/>
    </row>
    <row r="48" spans="1:20" ht="13.2" x14ac:dyDescent="0.25">
      <c r="A48" s="16"/>
      <c r="B48" s="11"/>
      <c r="C48" s="11"/>
      <c r="D48" s="8"/>
      <c r="E48" s="11"/>
      <c r="F48" s="16"/>
      <c r="G48" s="16"/>
      <c r="H48" s="16"/>
      <c r="I48" s="16"/>
      <c r="K48" s="19"/>
      <c r="L48" s="19"/>
      <c r="M48" s="19"/>
      <c r="N48" s="19"/>
      <c r="O48" s="19"/>
    </row>
    <row r="49" spans="1:21" ht="13.2" x14ac:dyDescent="0.25">
      <c r="A49" s="16" t="s">
        <v>44</v>
      </c>
      <c r="B49" s="8"/>
      <c r="C49" s="11"/>
      <c r="D49" s="11"/>
      <c r="E49" s="56" t="s">
        <v>45</v>
      </c>
      <c r="F49" s="11"/>
      <c r="G49" s="16"/>
      <c r="H49" s="16"/>
      <c r="I49" s="16"/>
      <c r="K49" s="19"/>
      <c r="L49" s="19"/>
      <c r="M49" s="19"/>
      <c r="N49" s="19"/>
      <c r="O49" s="19"/>
      <c r="Q49" t="s">
        <v>46</v>
      </c>
      <c r="R49">
        <f>'wtf OP, obv dagdelen onderbouw'!T52</f>
        <v>253</v>
      </c>
    </row>
    <row r="50" spans="1:21" ht="13.2" x14ac:dyDescent="0.25">
      <c r="A50" s="8" t="s">
        <v>47</v>
      </c>
      <c r="C50" s="57">
        <f>IFERROR(ROUND(IF(G33&gt;0,R55-T36,R55-G52/SUM(R55:R57)*R55),0),0)</f>
        <v>0</v>
      </c>
      <c r="D50" s="57"/>
      <c r="E50" s="165" t="s">
        <v>98</v>
      </c>
      <c r="F50" s="165"/>
      <c r="G50" s="166">
        <f>IFERROR(ROUND(IF(A36="",ROUND(D10*123,0),ROUND(VLOOKUP(C35,$Q$49:$R$53,2,FALSE)*D10,0))-C36-T39,0),0)</f>
        <v>0</v>
      </c>
      <c r="H50" s="59"/>
      <c r="I50" s="59"/>
      <c r="K50" s="19"/>
      <c r="L50" s="19"/>
      <c r="M50" s="19"/>
      <c r="N50" s="19"/>
      <c r="O50" s="19"/>
      <c r="Q50" t="s">
        <v>48</v>
      </c>
      <c r="R50">
        <f>'wtf OP, obv dagdelen onderbouw'!T53</f>
        <v>463</v>
      </c>
    </row>
    <row r="51" spans="1:21" ht="13.2" x14ac:dyDescent="0.25">
      <c r="A51" s="8" t="s">
        <v>49</v>
      </c>
      <c r="B51" s="8"/>
      <c r="C51" s="57">
        <f>IFERROR(ROUND(IF(G33&gt;0,R56-T37,R56-G52/SUM(R55:R57)*R56),0),0)</f>
        <v>0</v>
      </c>
      <c r="D51" s="57"/>
      <c r="E51" s="165"/>
      <c r="F51" s="165"/>
      <c r="G51" s="166"/>
      <c r="H51" s="59"/>
      <c r="I51" s="59"/>
      <c r="K51" s="19"/>
      <c r="L51" s="19"/>
      <c r="M51" s="19"/>
      <c r="N51" s="19"/>
      <c r="O51" s="19"/>
      <c r="Q51" t="s">
        <v>50</v>
      </c>
      <c r="R51">
        <f>'wtf OP, obv dagdelen onderbouw'!T54</f>
        <v>253</v>
      </c>
    </row>
    <row r="52" spans="1:21" ht="13.8" thickBot="1" x14ac:dyDescent="0.3">
      <c r="A52" s="8" t="s">
        <v>51</v>
      </c>
      <c r="B52" s="8"/>
      <c r="C52" s="78">
        <f>C44</f>
        <v>0</v>
      </c>
      <c r="D52" s="57"/>
      <c r="E52" s="8" t="str">
        <f>IF(C36&gt;0,"Verlof duurzame inzetbaarheid",IF(G33&gt;0,"Ouderschapsverlof",""))</f>
        <v/>
      </c>
      <c r="F52" s="16"/>
      <c r="G52" s="59">
        <f>ROUND(IF(E52="",0,IF(C36&gt;0,C36,S35)),0)</f>
        <v>0</v>
      </c>
      <c r="H52" s="59"/>
      <c r="I52" s="59"/>
      <c r="K52" s="19"/>
      <c r="L52" s="19"/>
      <c r="M52" s="19"/>
      <c r="N52" s="19"/>
      <c r="O52" s="19"/>
    </row>
    <row r="53" spans="1:21" ht="13.8" thickBot="1" x14ac:dyDescent="0.3">
      <c r="A53" s="11" t="s">
        <v>52</v>
      </c>
      <c r="B53" s="11"/>
      <c r="C53" s="64">
        <f>SUM(C50:C52)</f>
        <v>0</v>
      </c>
      <c r="D53" s="14"/>
      <c r="E53" s="11" t="s">
        <v>21</v>
      </c>
      <c r="F53" s="16"/>
      <c r="G53" s="65">
        <f>SUM(G50:G52)</f>
        <v>0</v>
      </c>
      <c r="H53" s="66"/>
      <c r="I53" s="66"/>
      <c r="K53" s="19"/>
      <c r="L53" s="19"/>
      <c r="M53" s="19"/>
      <c r="N53" s="19"/>
      <c r="O53" s="19"/>
      <c r="Q53" t="s">
        <v>53</v>
      </c>
      <c r="R53">
        <f>'wtf OP, obv dagdelen onderbouw'!T56</f>
        <v>123</v>
      </c>
    </row>
    <row r="54" spans="1:21" ht="13.2" x14ac:dyDescent="0.25">
      <c r="A54" s="118"/>
      <c r="B54" s="11"/>
      <c r="C54" s="14"/>
      <c r="D54" s="11"/>
      <c r="E54" s="16"/>
      <c r="F54" s="16"/>
      <c r="G54" s="16"/>
      <c r="H54" s="16"/>
      <c r="I54" s="16"/>
      <c r="K54" s="19"/>
      <c r="L54" s="19"/>
      <c r="M54" s="19"/>
      <c r="N54" s="19"/>
      <c r="O54" s="19"/>
    </row>
    <row r="55" spans="1:21" ht="12.75" customHeight="1" x14ac:dyDescent="0.25">
      <c r="A55" s="16" t="s">
        <v>54</v>
      </c>
      <c r="C55" s="11"/>
      <c r="D55" s="14"/>
      <c r="E55" s="160" t="str">
        <f>IF(C132&lt;0,"LET OP:","")</f>
        <v/>
      </c>
      <c r="F55" s="160"/>
      <c r="G55" s="160"/>
      <c r="H55" s="160"/>
      <c r="I55" s="160"/>
      <c r="K55" s="19"/>
      <c r="L55" s="19"/>
      <c r="M55" s="19"/>
      <c r="N55" s="19"/>
      <c r="O55" s="19"/>
      <c r="Q55" s="8" t="s">
        <v>47</v>
      </c>
      <c r="R55" s="67">
        <f>ROUND(D25*C15+D28-G32,0)</f>
        <v>0</v>
      </c>
      <c r="T55" s="67">
        <f>R55-C50</f>
        <v>0</v>
      </c>
      <c r="U55" t="e">
        <f>R55/SUM($T$55:$T$57)</f>
        <v>#DIV/0!</v>
      </c>
    </row>
    <row r="56" spans="1:21" ht="12.75" customHeight="1" x14ac:dyDescent="0.25">
      <c r="A56" s="6" t="s">
        <v>56</v>
      </c>
      <c r="B56" s="8"/>
      <c r="C56" s="13"/>
      <c r="E56" s="223" t="str">
        <f>IF(C132&lt;0,"Het is niet mogelijk de ingevulde werkzaamheden binnen de aangegeven werktijdfactor te voldoen.","")</f>
        <v/>
      </c>
      <c r="F56" s="223"/>
      <c r="G56" s="223"/>
      <c r="H56" s="223"/>
      <c r="I56" s="223"/>
      <c r="K56" s="147" t="s">
        <v>126</v>
      </c>
      <c r="L56" s="147"/>
      <c r="M56" s="147"/>
      <c r="N56" s="147"/>
      <c r="O56" s="147"/>
      <c r="Q56" s="8" t="s">
        <v>49</v>
      </c>
      <c r="R56">
        <f>ROUND(R55*F15,0)</f>
        <v>0</v>
      </c>
      <c r="S56" s="67">
        <f>R55+R56</f>
        <v>0</v>
      </c>
      <c r="T56" s="67">
        <f>R56-C51</f>
        <v>0</v>
      </c>
      <c r="U56" t="e">
        <f t="shared" ref="U56:U57" si="2">R56/SUM($T$55:$T$57)</f>
        <v>#DIV/0!</v>
      </c>
    </row>
    <row r="57" spans="1:21" ht="12.75" customHeight="1" x14ac:dyDescent="0.25">
      <c r="A57" s="22" t="s">
        <v>57</v>
      </c>
      <c r="B57" s="8"/>
      <c r="C57" s="13"/>
      <c r="D57" s="144"/>
      <c r="E57" s="223"/>
      <c r="F57" s="223"/>
      <c r="G57" s="223"/>
      <c r="H57" s="223"/>
      <c r="I57" s="223"/>
      <c r="K57" s="147"/>
      <c r="L57" s="147"/>
      <c r="M57" s="147"/>
      <c r="N57" s="147"/>
      <c r="O57" s="147"/>
      <c r="Q57" t="s">
        <v>117</v>
      </c>
      <c r="R57">
        <f>ROUND(1659*D10-S56-ROUND(IF(A35="",ROUND(D10*40,0),ROUND(VLOOKUP(C35,$Q$49:$R$53,2,FALSE)*D10,0))-C36,0)-ROUND(D10*2*41.475,0)-C44,0)</f>
        <v>0</v>
      </c>
      <c r="T57" s="67">
        <f>+R57-C133</f>
        <v>0</v>
      </c>
      <c r="U57" t="e">
        <f t="shared" si="2"/>
        <v>#DIV/0!</v>
      </c>
    </row>
    <row r="58" spans="1:21" ht="12.75" customHeight="1" x14ac:dyDescent="0.25">
      <c r="A58" s="22" t="s">
        <v>58</v>
      </c>
      <c r="B58" s="8"/>
      <c r="C58" s="13"/>
      <c r="D58" s="145"/>
      <c r="E58" s="163" t="s">
        <v>101</v>
      </c>
      <c r="F58" s="163"/>
      <c r="G58" s="163"/>
      <c r="H58" s="163"/>
      <c r="I58" s="163"/>
      <c r="K58" s="147"/>
      <c r="L58" s="147"/>
      <c r="M58" s="147"/>
      <c r="N58" s="147"/>
      <c r="O58" s="147"/>
    </row>
    <row r="59" spans="1:21" ht="13.2" x14ac:dyDescent="0.25">
      <c r="A59" s="22" t="s">
        <v>127</v>
      </c>
      <c r="B59" s="8"/>
      <c r="C59" s="13"/>
      <c r="D59" s="14"/>
      <c r="E59" s="111" t="s">
        <v>130</v>
      </c>
      <c r="F59" s="208">
        <f>G52</f>
        <v>0</v>
      </c>
      <c r="G59" s="208"/>
      <c r="H59" s="208"/>
      <c r="I59" s="143"/>
      <c r="K59" s="147"/>
      <c r="L59" s="147"/>
      <c r="M59" s="147"/>
      <c r="N59" s="147"/>
      <c r="O59" s="147"/>
      <c r="R59">
        <f>1659*D10</f>
        <v>0</v>
      </c>
    </row>
    <row r="60" spans="1:21" ht="13.2" x14ac:dyDescent="0.25">
      <c r="A60" s="22" t="s">
        <v>128</v>
      </c>
      <c r="B60" s="8"/>
      <c r="C60" s="13"/>
      <c r="D60" s="14"/>
      <c r="E60" s="111" t="s">
        <v>58</v>
      </c>
      <c r="F60" s="175"/>
      <c r="G60" s="175"/>
      <c r="H60" s="175"/>
      <c r="I60" s="146"/>
      <c r="K60" s="147"/>
      <c r="L60" s="147"/>
      <c r="M60" s="147"/>
      <c r="N60" s="147"/>
      <c r="O60" s="147"/>
    </row>
    <row r="61" spans="1:21" ht="13.2" x14ac:dyDescent="0.25">
      <c r="A61" s="6" t="s">
        <v>60</v>
      </c>
      <c r="B61" s="8"/>
      <c r="C61" s="13"/>
      <c r="D61" s="14"/>
      <c r="E61" s="111" t="s">
        <v>62</v>
      </c>
      <c r="F61" s="175"/>
      <c r="G61" s="175"/>
      <c r="H61" s="175"/>
      <c r="I61" s="146"/>
      <c r="K61" s="147"/>
      <c r="L61" s="147"/>
      <c r="M61" s="147"/>
      <c r="N61" s="147"/>
      <c r="O61" s="147"/>
      <c r="R61">
        <f>IFERROR(IF(G33&gt;0,ROUND(R57-T40,0),ROUND(R57-G52/SUM(R55:R57)*R57,0)),0)</f>
        <v>0</v>
      </c>
    </row>
    <row r="62" spans="1:21" ht="13.2" x14ac:dyDescent="0.25">
      <c r="A62" s="6" t="s">
        <v>60</v>
      </c>
      <c r="B62" s="8"/>
      <c r="C62" s="13"/>
      <c r="D62" s="14"/>
      <c r="E62" s="111" t="s">
        <v>61</v>
      </c>
      <c r="F62" s="175"/>
      <c r="G62" s="175"/>
      <c r="H62" s="175"/>
      <c r="I62" s="146"/>
      <c r="K62" s="19"/>
      <c r="L62" s="19"/>
      <c r="M62" s="19"/>
      <c r="N62" s="19"/>
      <c r="O62" s="19"/>
    </row>
    <row r="63" spans="1:21" ht="13.2" x14ac:dyDescent="0.25">
      <c r="A63" s="6" t="s">
        <v>60</v>
      </c>
      <c r="B63" s="8"/>
      <c r="C63" s="13"/>
      <c r="D63" s="14"/>
      <c r="E63" s="112" t="s">
        <v>63</v>
      </c>
      <c r="F63" s="175"/>
      <c r="G63" s="175"/>
      <c r="H63" s="175"/>
      <c r="I63" s="112"/>
      <c r="K63" s="19"/>
      <c r="L63" s="19"/>
      <c r="M63" s="19"/>
      <c r="N63" s="19"/>
      <c r="O63" s="19"/>
    </row>
    <row r="64" spans="1:21" ht="13.2" x14ac:dyDescent="0.25">
      <c r="A64" s="6" t="s">
        <v>60</v>
      </c>
      <c r="B64" s="8"/>
      <c r="C64" s="13"/>
      <c r="D64" s="8"/>
      <c r="E64" s="112" t="s">
        <v>64</v>
      </c>
      <c r="F64" s="175"/>
      <c r="G64" s="175"/>
      <c r="H64" s="175"/>
      <c r="I64" s="112"/>
      <c r="K64" s="19"/>
      <c r="L64" s="19"/>
      <c r="M64" s="19"/>
      <c r="N64" s="19"/>
      <c r="O64" s="19"/>
    </row>
    <row r="65" spans="1:15" ht="13.2" x14ac:dyDescent="0.25">
      <c r="A65" s="6" t="s">
        <v>60</v>
      </c>
      <c r="B65" s="8"/>
      <c r="C65" s="13"/>
      <c r="D65" s="8"/>
      <c r="E65" s="112" t="s">
        <v>60</v>
      </c>
      <c r="F65" s="175"/>
      <c r="G65" s="175"/>
      <c r="H65" s="175"/>
      <c r="I65" s="112"/>
      <c r="K65" s="19"/>
      <c r="L65" s="19"/>
      <c r="M65" s="19"/>
      <c r="N65" s="19"/>
      <c r="O65" s="19"/>
    </row>
    <row r="66" spans="1:15" ht="13.2" x14ac:dyDescent="0.25">
      <c r="A66" s="6" t="s">
        <v>60</v>
      </c>
      <c r="B66" s="8"/>
      <c r="C66" s="13"/>
      <c r="D66" s="8"/>
      <c r="E66" s="112" t="s">
        <v>60</v>
      </c>
      <c r="F66" s="175"/>
      <c r="G66" s="175"/>
      <c r="H66" s="175"/>
      <c r="I66" s="112"/>
      <c r="K66" s="19"/>
      <c r="L66" s="19"/>
      <c r="M66" s="19"/>
      <c r="N66" s="19"/>
      <c r="O66" s="19"/>
    </row>
    <row r="67" spans="1:15" ht="13.2" x14ac:dyDescent="0.25">
      <c r="A67" s="6" t="s">
        <v>60</v>
      </c>
      <c r="B67" s="8"/>
      <c r="C67" s="13"/>
      <c r="D67" s="8"/>
      <c r="E67" s="112" t="s">
        <v>60</v>
      </c>
      <c r="F67" s="175"/>
      <c r="G67" s="175"/>
      <c r="H67" s="175"/>
      <c r="I67" s="112"/>
      <c r="K67" s="19"/>
      <c r="L67" s="19"/>
      <c r="M67" s="19"/>
      <c r="N67" s="19"/>
      <c r="O67" s="19"/>
    </row>
    <row r="68" spans="1:15" ht="13.2" hidden="1" x14ac:dyDescent="0.25">
      <c r="A68" s="6" t="s">
        <v>60</v>
      </c>
      <c r="B68" s="8"/>
      <c r="C68" s="13"/>
      <c r="D68" s="8"/>
      <c r="E68" s="112" t="s">
        <v>60</v>
      </c>
      <c r="F68" s="175"/>
      <c r="G68" s="175"/>
      <c r="H68" s="175"/>
      <c r="I68" s="112"/>
      <c r="K68" s="19"/>
      <c r="L68" s="19"/>
      <c r="M68" s="19"/>
      <c r="N68" s="19"/>
      <c r="O68" s="19"/>
    </row>
    <row r="69" spans="1:15" ht="13.2" hidden="1" x14ac:dyDescent="0.25">
      <c r="A69" s="6" t="s">
        <v>60</v>
      </c>
      <c r="B69" s="8"/>
      <c r="C69" s="13"/>
      <c r="D69" s="8"/>
      <c r="E69" s="112" t="s">
        <v>60</v>
      </c>
      <c r="F69" s="175"/>
      <c r="G69" s="175"/>
      <c r="H69" s="175"/>
      <c r="I69" s="112"/>
      <c r="K69" s="19"/>
      <c r="L69" s="19"/>
      <c r="M69" s="19"/>
      <c r="N69" s="19"/>
      <c r="O69" s="19"/>
    </row>
    <row r="70" spans="1:15" ht="13.2" hidden="1" x14ac:dyDescent="0.25">
      <c r="A70" s="6" t="s">
        <v>60</v>
      </c>
      <c r="B70" s="8"/>
      <c r="C70" s="13"/>
      <c r="D70" s="8"/>
      <c r="E70" s="112" t="s">
        <v>60</v>
      </c>
      <c r="F70" s="175"/>
      <c r="G70" s="175"/>
      <c r="H70" s="175"/>
      <c r="I70" s="112"/>
      <c r="K70" s="19"/>
      <c r="L70" s="19"/>
      <c r="M70" s="19"/>
      <c r="N70" s="19"/>
      <c r="O70" s="19"/>
    </row>
    <row r="71" spans="1:15" ht="13.2" hidden="1" x14ac:dyDescent="0.25">
      <c r="A71" s="6" t="s">
        <v>60</v>
      </c>
      <c r="B71" s="8"/>
      <c r="C71" s="13"/>
      <c r="D71" s="8"/>
      <c r="E71" s="112" t="s">
        <v>60</v>
      </c>
      <c r="F71" s="175"/>
      <c r="G71" s="175"/>
      <c r="H71" s="175"/>
      <c r="I71" s="112"/>
      <c r="K71" s="19"/>
      <c r="L71" s="19"/>
      <c r="M71" s="19"/>
      <c r="N71" s="19"/>
      <c r="O71" s="19"/>
    </row>
    <row r="72" spans="1:15" ht="13.2" hidden="1" x14ac:dyDescent="0.25">
      <c r="A72" s="6" t="s">
        <v>60</v>
      </c>
      <c r="B72" s="8"/>
      <c r="C72" s="13"/>
      <c r="D72" s="8"/>
      <c r="E72" s="112" t="s">
        <v>60</v>
      </c>
      <c r="F72" s="175"/>
      <c r="G72" s="175"/>
      <c r="H72" s="175"/>
      <c r="I72" s="112"/>
      <c r="K72" s="19"/>
      <c r="L72" s="19"/>
      <c r="M72" s="19"/>
      <c r="N72" s="19"/>
      <c r="O72" s="19"/>
    </row>
    <row r="73" spans="1:15" ht="13.2" hidden="1" x14ac:dyDescent="0.25">
      <c r="A73" s="6" t="s">
        <v>60</v>
      </c>
      <c r="B73" s="8"/>
      <c r="C73" s="13"/>
      <c r="D73" s="8"/>
      <c r="E73" s="112" t="s">
        <v>60</v>
      </c>
      <c r="F73" s="175"/>
      <c r="G73" s="175"/>
      <c r="H73" s="175"/>
      <c r="I73" s="112"/>
      <c r="K73" s="19"/>
      <c r="L73" s="19"/>
      <c r="M73" s="19"/>
      <c r="N73" s="19"/>
      <c r="O73" s="19"/>
    </row>
    <row r="74" spans="1:15" ht="13.2" hidden="1" x14ac:dyDescent="0.25">
      <c r="A74" s="6" t="s">
        <v>60</v>
      </c>
      <c r="B74" s="8"/>
      <c r="C74" s="13"/>
      <c r="D74" s="8"/>
      <c r="E74" s="112" t="s">
        <v>60</v>
      </c>
      <c r="F74" s="175"/>
      <c r="G74" s="175"/>
      <c r="H74" s="175"/>
      <c r="I74" s="112"/>
      <c r="K74" s="19"/>
      <c r="L74" s="19"/>
      <c r="M74" s="19"/>
      <c r="N74" s="19"/>
      <c r="O74" s="19"/>
    </row>
    <row r="75" spans="1:15" ht="13.2" hidden="1" x14ac:dyDescent="0.25">
      <c r="A75" s="6" t="s">
        <v>60</v>
      </c>
      <c r="B75" s="8"/>
      <c r="C75" s="13"/>
      <c r="D75" s="8"/>
      <c r="E75" s="112" t="s">
        <v>60</v>
      </c>
      <c r="F75" s="175"/>
      <c r="G75" s="175"/>
      <c r="H75" s="175"/>
      <c r="I75" s="112"/>
      <c r="K75" s="19"/>
      <c r="L75" s="19"/>
      <c r="M75" s="19"/>
      <c r="N75" s="19"/>
      <c r="O75" s="19"/>
    </row>
    <row r="76" spans="1:15" ht="13.2" hidden="1" x14ac:dyDescent="0.25">
      <c r="A76" s="6" t="s">
        <v>60</v>
      </c>
      <c r="B76" s="8"/>
      <c r="C76" s="13"/>
      <c r="D76" s="8"/>
      <c r="E76" s="112" t="s">
        <v>60</v>
      </c>
      <c r="F76" s="175"/>
      <c r="G76" s="175"/>
      <c r="H76" s="175"/>
      <c r="I76" s="112"/>
      <c r="K76" s="19"/>
      <c r="L76" s="19"/>
      <c r="M76" s="19"/>
      <c r="N76" s="19"/>
      <c r="O76" s="19"/>
    </row>
    <row r="77" spans="1:15" ht="13.2" hidden="1" x14ac:dyDescent="0.25">
      <c r="A77" s="6" t="s">
        <v>60</v>
      </c>
      <c r="B77" s="8"/>
      <c r="C77" s="13"/>
      <c r="D77" s="8"/>
      <c r="E77" s="112" t="s">
        <v>60</v>
      </c>
      <c r="F77" s="175"/>
      <c r="G77" s="175"/>
      <c r="H77" s="175"/>
      <c r="I77" s="112"/>
      <c r="K77" s="19"/>
      <c r="L77" s="19"/>
      <c r="M77" s="19"/>
      <c r="N77" s="19"/>
      <c r="O77" s="19"/>
    </row>
    <row r="78" spans="1:15" ht="13.2" hidden="1" x14ac:dyDescent="0.25">
      <c r="A78" s="6" t="s">
        <v>60</v>
      </c>
      <c r="B78" s="8"/>
      <c r="C78" s="13"/>
      <c r="D78" s="8"/>
      <c r="E78" s="112" t="s">
        <v>60</v>
      </c>
      <c r="F78" s="175"/>
      <c r="G78" s="175"/>
      <c r="H78" s="175"/>
      <c r="I78" s="112"/>
      <c r="K78" s="19"/>
      <c r="L78" s="19"/>
      <c r="M78" s="19"/>
      <c r="N78" s="19"/>
      <c r="O78" s="19"/>
    </row>
    <row r="79" spans="1:15" ht="13.2" hidden="1" x14ac:dyDescent="0.25">
      <c r="A79" s="6" t="s">
        <v>60</v>
      </c>
      <c r="B79" s="8"/>
      <c r="C79" s="13"/>
      <c r="D79" s="8"/>
      <c r="E79" s="112" t="s">
        <v>60</v>
      </c>
      <c r="F79" s="175"/>
      <c r="G79" s="175"/>
      <c r="H79" s="175"/>
      <c r="I79" s="112"/>
      <c r="K79" s="19"/>
      <c r="L79" s="19"/>
      <c r="M79" s="19"/>
      <c r="N79" s="19"/>
      <c r="O79" s="19"/>
    </row>
    <row r="80" spans="1:15" ht="13.2" hidden="1" x14ac:dyDescent="0.25">
      <c r="A80" s="6" t="s">
        <v>60</v>
      </c>
      <c r="B80" s="8"/>
      <c r="C80" s="13"/>
      <c r="D80" s="8"/>
      <c r="E80" s="112" t="s">
        <v>60</v>
      </c>
      <c r="F80" s="175"/>
      <c r="G80" s="175"/>
      <c r="H80" s="175"/>
      <c r="I80" s="112"/>
      <c r="K80" s="19"/>
      <c r="L80" s="19"/>
      <c r="M80" s="19"/>
      <c r="N80" s="19"/>
      <c r="O80" s="19"/>
    </row>
    <row r="81" spans="1:15" ht="13.2" hidden="1" x14ac:dyDescent="0.25">
      <c r="A81" s="6" t="s">
        <v>60</v>
      </c>
      <c r="B81" s="8"/>
      <c r="C81" s="13"/>
      <c r="D81" s="8"/>
      <c r="E81" s="112" t="s">
        <v>60</v>
      </c>
      <c r="F81" s="175"/>
      <c r="G81" s="175"/>
      <c r="H81" s="175"/>
      <c r="I81" s="112"/>
      <c r="K81" s="19"/>
      <c r="L81" s="19"/>
      <c r="M81" s="19"/>
      <c r="N81" s="19"/>
      <c r="O81" s="19"/>
    </row>
    <row r="82" spans="1:15" ht="13.2" hidden="1" x14ac:dyDescent="0.25">
      <c r="A82" s="6" t="s">
        <v>60</v>
      </c>
      <c r="B82" s="8"/>
      <c r="C82" s="13"/>
      <c r="D82" s="8"/>
      <c r="E82" s="112" t="s">
        <v>60</v>
      </c>
      <c r="F82" s="175"/>
      <c r="G82" s="175"/>
      <c r="H82" s="175"/>
      <c r="I82" s="112"/>
      <c r="K82" s="19"/>
      <c r="L82" s="19"/>
      <c r="M82" s="19"/>
      <c r="N82" s="19"/>
      <c r="O82" s="19"/>
    </row>
    <row r="83" spans="1:15" ht="13.2" hidden="1" x14ac:dyDescent="0.25">
      <c r="A83" s="6" t="s">
        <v>60</v>
      </c>
      <c r="B83" s="8"/>
      <c r="C83" s="13"/>
      <c r="D83" s="8"/>
      <c r="E83" s="112" t="s">
        <v>60</v>
      </c>
      <c r="F83" s="175"/>
      <c r="G83" s="175"/>
      <c r="H83" s="175"/>
      <c r="I83" s="112"/>
      <c r="K83" s="19"/>
      <c r="L83" s="19"/>
      <c r="M83" s="19"/>
      <c r="N83" s="19"/>
      <c r="O83" s="19"/>
    </row>
    <row r="84" spans="1:15" ht="13.2" hidden="1" x14ac:dyDescent="0.25">
      <c r="A84" s="6" t="s">
        <v>60</v>
      </c>
      <c r="B84" s="8"/>
      <c r="C84" s="13"/>
      <c r="D84" s="8"/>
      <c r="E84" s="112" t="s">
        <v>60</v>
      </c>
      <c r="F84" s="175"/>
      <c r="G84" s="175"/>
      <c r="H84" s="175"/>
      <c r="I84" s="112"/>
      <c r="K84" s="19"/>
      <c r="L84" s="19"/>
      <c r="M84" s="19"/>
      <c r="N84" s="19"/>
      <c r="O84" s="19"/>
    </row>
    <row r="85" spans="1:15" ht="13.2" hidden="1" x14ac:dyDescent="0.25">
      <c r="A85" s="6" t="s">
        <v>60</v>
      </c>
      <c r="B85" s="8"/>
      <c r="C85" s="13"/>
      <c r="D85" s="8"/>
      <c r="E85" s="112" t="s">
        <v>60</v>
      </c>
      <c r="F85" s="175"/>
      <c r="G85" s="175"/>
      <c r="H85" s="175"/>
      <c r="I85" s="112"/>
      <c r="K85" s="19"/>
      <c r="L85" s="19"/>
      <c r="M85" s="19"/>
      <c r="N85" s="19"/>
      <c r="O85" s="19"/>
    </row>
    <row r="86" spans="1:15" ht="13.2" hidden="1" x14ac:dyDescent="0.25">
      <c r="A86" s="6" t="s">
        <v>60</v>
      </c>
      <c r="B86" s="8"/>
      <c r="C86" s="13"/>
      <c r="D86" s="8"/>
      <c r="E86" s="112" t="s">
        <v>60</v>
      </c>
      <c r="F86" s="175"/>
      <c r="G86" s="175"/>
      <c r="H86" s="175"/>
      <c r="I86" s="112"/>
      <c r="K86" s="19"/>
      <c r="L86" s="19"/>
      <c r="M86" s="19"/>
      <c r="N86" s="19"/>
      <c r="O86" s="19"/>
    </row>
    <row r="87" spans="1:15" ht="13.2" hidden="1" x14ac:dyDescent="0.25">
      <c r="A87" s="6" t="s">
        <v>60</v>
      </c>
      <c r="B87" s="8"/>
      <c r="C87" s="13"/>
      <c r="D87" s="8"/>
      <c r="E87" s="112" t="s">
        <v>60</v>
      </c>
      <c r="F87" s="175"/>
      <c r="G87" s="175"/>
      <c r="H87" s="175"/>
      <c r="I87" s="112"/>
      <c r="K87" s="19"/>
      <c r="L87" s="19"/>
      <c r="M87" s="19"/>
      <c r="N87" s="19"/>
      <c r="O87" s="19"/>
    </row>
    <row r="88" spans="1:15" ht="13.2" hidden="1" x14ac:dyDescent="0.25">
      <c r="A88" s="6" t="s">
        <v>60</v>
      </c>
      <c r="B88" s="8"/>
      <c r="C88" s="13"/>
      <c r="D88" s="8"/>
      <c r="E88" s="112" t="s">
        <v>60</v>
      </c>
      <c r="F88" s="175"/>
      <c r="G88" s="175"/>
      <c r="H88" s="175"/>
      <c r="I88" s="112"/>
      <c r="K88" s="19"/>
      <c r="L88" s="19"/>
      <c r="M88" s="19"/>
      <c r="N88" s="19"/>
      <c r="O88" s="19"/>
    </row>
    <row r="89" spans="1:15" ht="13.2" hidden="1" x14ac:dyDescent="0.25">
      <c r="A89" s="6" t="s">
        <v>60</v>
      </c>
      <c r="B89" s="8"/>
      <c r="C89" s="13"/>
      <c r="D89" s="8"/>
      <c r="E89" s="112" t="s">
        <v>60</v>
      </c>
      <c r="F89" s="175"/>
      <c r="G89" s="175"/>
      <c r="H89" s="175"/>
      <c r="I89" s="112"/>
      <c r="K89" s="19"/>
      <c r="L89" s="19"/>
      <c r="M89" s="19"/>
      <c r="N89" s="19"/>
      <c r="O89" s="19"/>
    </row>
    <row r="90" spans="1:15" ht="13.2" hidden="1" x14ac:dyDescent="0.25">
      <c r="A90" s="6" t="s">
        <v>60</v>
      </c>
      <c r="B90" s="8"/>
      <c r="C90" s="13"/>
      <c r="D90" s="8"/>
      <c r="E90" s="112" t="s">
        <v>60</v>
      </c>
      <c r="F90" s="175"/>
      <c r="G90" s="175"/>
      <c r="H90" s="175"/>
      <c r="I90" s="112"/>
      <c r="K90" s="19"/>
      <c r="L90" s="19"/>
      <c r="M90" s="19"/>
      <c r="N90" s="19"/>
      <c r="O90" s="19"/>
    </row>
    <row r="91" spans="1:15" ht="13.2" hidden="1" x14ac:dyDescent="0.25">
      <c r="A91" s="6" t="s">
        <v>60</v>
      </c>
      <c r="B91" s="8"/>
      <c r="C91" s="13"/>
      <c r="D91" s="8"/>
      <c r="E91" s="112" t="s">
        <v>60</v>
      </c>
      <c r="F91" s="175"/>
      <c r="G91" s="175"/>
      <c r="H91" s="175"/>
      <c r="I91" s="112"/>
      <c r="K91" s="19"/>
      <c r="L91" s="19"/>
      <c r="M91" s="19"/>
      <c r="N91" s="19"/>
      <c r="O91" s="19"/>
    </row>
    <row r="92" spans="1:15" ht="13.2" hidden="1" x14ac:dyDescent="0.25">
      <c r="A92" s="6" t="s">
        <v>60</v>
      </c>
      <c r="B92" s="8"/>
      <c r="C92" s="13"/>
      <c r="D92" s="8"/>
      <c r="E92" s="112" t="s">
        <v>60</v>
      </c>
      <c r="F92" s="175"/>
      <c r="G92" s="175"/>
      <c r="H92" s="175"/>
      <c r="I92" s="112"/>
      <c r="K92" s="19"/>
      <c r="L92" s="19"/>
      <c r="M92" s="19"/>
      <c r="N92" s="19"/>
      <c r="O92" s="19"/>
    </row>
    <row r="93" spans="1:15" ht="13.2" hidden="1" x14ac:dyDescent="0.25">
      <c r="A93" s="6" t="s">
        <v>60</v>
      </c>
      <c r="B93" s="8"/>
      <c r="C93" s="13"/>
      <c r="D93" s="8"/>
      <c r="E93" s="112" t="s">
        <v>60</v>
      </c>
      <c r="F93" s="175"/>
      <c r="G93" s="175"/>
      <c r="H93" s="175"/>
      <c r="I93" s="112"/>
      <c r="K93" s="19"/>
      <c r="L93" s="19"/>
      <c r="M93" s="19"/>
      <c r="N93" s="19"/>
      <c r="O93" s="19"/>
    </row>
    <row r="94" spans="1:15" ht="13.2" hidden="1" x14ac:dyDescent="0.25">
      <c r="A94" s="6" t="s">
        <v>60</v>
      </c>
      <c r="B94" s="8"/>
      <c r="C94" s="13"/>
      <c r="D94" s="8"/>
      <c r="E94" s="112" t="s">
        <v>60</v>
      </c>
      <c r="F94" s="175"/>
      <c r="G94" s="175"/>
      <c r="H94" s="175"/>
      <c r="I94" s="112"/>
      <c r="K94" s="19"/>
      <c r="L94" s="19"/>
      <c r="M94" s="19"/>
      <c r="N94" s="19"/>
      <c r="O94" s="19"/>
    </row>
    <row r="95" spans="1:15" ht="13.2" hidden="1" x14ac:dyDescent="0.25">
      <c r="A95" s="6" t="s">
        <v>60</v>
      </c>
      <c r="B95" s="8"/>
      <c r="C95" s="13"/>
      <c r="D95" s="8"/>
      <c r="E95" s="112" t="s">
        <v>60</v>
      </c>
      <c r="F95" s="175"/>
      <c r="G95" s="175"/>
      <c r="H95" s="175"/>
      <c r="I95" s="112"/>
      <c r="K95" s="19"/>
      <c r="L95" s="19"/>
      <c r="M95" s="19"/>
      <c r="N95" s="19"/>
      <c r="O95" s="19"/>
    </row>
    <row r="96" spans="1:15" ht="13.2" hidden="1" x14ac:dyDescent="0.25">
      <c r="A96" s="6" t="s">
        <v>60</v>
      </c>
      <c r="B96" s="8"/>
      <c r="C96" s="13"/>
      <c r="D96" s="8"/>
      <c r="E96" s="112" t="s">
        <v>60</v>
      </c>
      <c r="F96" s="175"/>
      <c r="G96" s="175"/>
      <c r="H96" s="175"/>
      <c r="I96" s="112"/>
      <c r="K96" s="19"/>
      <c r="L96" s="19"/>
      <c r="M96" s="19"/>
      <c r="N96" s="19"/>
      <c r="O96" s="19"/>
    </row>
    <row r="97" spans="1:15" ht="13.2" hidden="1" x14ac:dyDescent="0.25">
      <c r="A97" s="6" t="s">
        <v>60</v>
      </c>
      <c r="B97" s="8"/>
      <c r="C97" s="13"/>
      <c r="D97" s="8"/>
      <c r="E97" s="112" t="s">
        <v>60</v>
      </c>
      <c r="F97" s="175"/>
      <c r="G97" s="175"/>
      <c r="H97" s="175"/>
      <c r="I97" s="112"/>
      <c r="K97" s="19"/>
      <c r="L97" s="19"/>
      <c r="M97" s="19"/>
      <c r="N97" s="19"/>
      <c r="O97" s="19"/>
    </row>
    <row r="98" spans="1:15" ht="13.2" hidden="1" x14ac:dyDescent="0.25">
      <c r="A98" s="6" t="s">
        <v>60</v>
      </c>
      <c r="B98" s="8"/>
      <c r="C98" s="13"/>
      <c r="D98" s="8"/>
      <c r="E98" s="112" t="s">
        <v>60</v>
      </c>
      <c r="F98" s="175"/>
      <c r="G98" s="175"/>
      <c r="H98" s="175"/>
      <c r="I98" s="112"/>
      <c r="K98" s="19"/>
      <c r="L98" s="19"/>
      <c r="M98" s="19"/>
      <c r="N98" s="19"/>
      <c r="O98" s="19"/>
    </row>
    <row r="99" spans="1:15" ht="13.2" hidden="1" x14ac:dyDescent="0.25">
      <c r="A99" s="6" t="s">
        <v>60</v>
      </c>
      <c r="B99" s="8"/>
      <c r="C99" s="13"/>
      <c r="D99" s="8"/>
      <c r="E99" s="112" t="s">
        <v>60</v>
      </c>
      <c r="F99" s="175"/>
      <c r="G99" s="175"/>
      <c r="H99" s="175"/>
      <c r="I99" s="112"/>
      <c r="K99" s="19"/>
      <c r="L99" s="19"/>
      <c r="M99" s="19"/>
      <c r="N99" s="19"/>
      <c r="O99" s="19"/>
    </row>
    <row r="100" spans="1:15" ht="13.2" hidden="1" x14ac:dyDescent="0.25">
      <c r="A100" s="6" t="s">
        <v>60</v>
      </c>
      <c r="B100" s="8"/>
      <c r="C100" s="13"/>
      <c r="D100" s="8"/>
      <c r="E100" s="112" t="s">
        <v>60</v>
      </c>
      <c r="F100" s="175"/>
      <c r="G100" s="175"/>
      <c r="H100" s="175"/>
      <c r="I100" s="112"/>
      <c r="K100" s="19"/>
      <c r="L100" s="19"/>
      <c r="M100" s="19"/>
      <c r="N100" s="19"/>
      <c r="O100" s="19"/>
    </row>
    <row r="101" spans="1:15" ht="13.2" hidden="1" x14ac:dyDescent="0.25">
      <c r="A101" s="6" t="s">
        <v>60</v>
      </c>
      <c r="B101" s="8"/>
      <c r="C101" s="13"/>
      <c r="D101" s="8"/>
      <c r="E101" s="112" t="s">
        <v>60</v>
      </c>
      <c r="F101" s="175"/>
      <c r="G101" s="175"/>
      <c r="H101" s="175"/>
      <c r="I101" s="112"/>
      <c r="K101" s="19"/>
      <c r="L101" s="19"/>
      <c r="M101" s="19"/>
      <c r="N101" s="19"/>
      <c r="O101" s="19"/>
    </row>
    <row r="102" spans="1:15" ht="13.2" hidden="1" x14ac:dyDescent="0.25">
      <c r="A102" s="6" t="s">
        <v>60</v>
      </c>
      <c r="B102" s="8"/>
      <c r="C102" s="13"/>
      <c r="D102" s="8"/>
      <c r="E102" s="112" t="s">
        <v>60</v>
      </c>
      <c r="F102" s="175"/>
      <c r="G102" s="175"/>
      <c r="H102" s="175"/>
      <c r="I102" s="112"/>
      <c r="K102" s="19"/>
      <c r="L102" s="19"/>
      <c r="M102" s="19"/>
      <c r="N102" s="19"/>
      <c r="O102" s="19"/>
    </row>
    <row r="103" spans="1:15" ht="13.2" hidden="1" x14ac:dyDescent="0.25">
      <c r="A103" s="6" t="s">
        <v>60</v>
      </c>
      <c r="B103" s="8"/>
      <c r="C103" s="13"/>
      <c r="D103" s="8"/>
      <c r="E103" s="112" t="s">
        <v>60</v>
      </c>
      <c r="F103" s="175"/>
      <c r="G103" s="175"/>
      <c r="H103" s="175"/>
      <c r="I103" s="112"/>
      <c r="K103" s="19"/>
      <c r="L103" s="19"/>
      <c r="M103" s="19"/>
      <c r="N103" s="19"/>
      <c r="O103" s="19"/>
    </row>
    <row r="104" spans="1:15" ht="13.2" hidden="1" x14ac:dyDescent="0.25">
      <c r="A104" s="6" t="s">
        <v>60</v>
      </c>
      <c r="B104" s="8"/>
      <c r="C104" s="13"/>
      <c r="D104" s="8"/>
      <c r="E104" s="112" t="s">
        <v>60</v>
      </c>
      <c r="F104" s="175"/>
      <c r="G104" s="175"/>
      <c r="H104" s="175"/>
      <c r="I104" s="112"/>
      <c r="K104" s="19"/>
      <c r="L104" s="19"/>
      <c r="M104" s="19"/>
      <c r="N104" s="19"/>
      <c r="O104" s="19"/>
    </row>
    <row r="105" spans="1:15" ht="13.2" hidden="1" x14ac:dyDescent="0.25">
      <c r="A105" s="6" t="s">
        <v>60</v>
      </c>
      <c r="B105" s="8"/>
      <c r="C105" s="13"/>
      <c r="D105" s="8"/>
      <c r="E105" s="112" t="s">
        <v>60</v>
      </c>
      <c r="F105" s="175"/>
      <c r="G105" s="175"/>
      <c r="H105" s="175"/>
      <c r="I105" s="112"/>
      <c r="K105" s="19"/>
      <c r="L105" s="19"/>
      <c r="M105" s="19"/>
      <c r="N105" s="19"/>
      <c r="O105" s="19"/>
    </row>
    <row r="106" spans="1:15" ht="13.2" hidden="1" x14ac:dyDescent="0.25">
      <c r="A106" s="6" t="s">
        <v>60</v>
      </c>
      <c r="B106" s="8"/>
      <c r="C106" s="13"/>
      <c r="D106" s="8"/>
      <c r="E106" s="112" t="s">
        <v>60</v>
      </c>
      <c r="F106" s="175"/>
      <c r="G106" s="175"/>
      <c r="H106" s="175"/>
      <c r="I106" s="112"/>
      <c r="K106" s="19"/>
      <c r="L106" s="19"/>
      <c r="M106" s="19"/>
      <c r="N106" s="19"/>
      <c r="O106" s="19"/>
    </row>
    <row r="107" spans="1:15" ht="13.2" hidden="1" x14ac:dyDescent="0.25">
      <c r="A107" s="6" t="s">
        <v>60</v>
      </c>
      <c r="B107" s="8"/>
      <c r="C107" s="13"/>
      <c r="D107" s="8"/>
      <c r="E107" s="112" t="s">
        <v>60</v>
      </c>
      <c r="F107" s="175"/>
      <c r="G107" s="175"/>
      <c r="H107" s="175"/>
      <c r="I107" s="112"/>
      <c r="K107" s="19"/>
      <c r="L107" s="19"/>
      <c r="M107" s="19"/>
      <c r="N107" s="19"/>
      <c r="O107" s="19"/>
    </row>
    <row r="108" spans="1:15" ht="13.2" hidden="1" x14ac:dyDescent="0.25">
      <c r="A108" s="6" t="s">
        <v>60</v>
      </c>
      <c r="B108" s="8"/>
      <c r="C108" s="13"/>
      <c r="D108" s="8"/>
      <c r="E108" s="112" t="s">
        <v>60</v>
      </c>
      <c r="F108" s="175"/>
      <c r="G108" s="175"/>
      <c r="H108" s="175"/>
      <c r="I108" s="112"/>
      <c r="K108" s="19"/>
      <c r="L108" s="19"/>
      <c r="M108" s="19"/>
      <c r="N108" s="19"/>
      <c r="O108" s="19"/>
    </row>
    <row r="109" spans="1:15" ht="13.2" hidden="1" x14ac:dyDescent="0.25">
      <c r="A109" s="6" t="s">
        <v>60</v>
      </c>
      <c r="B109" s="8"/>
      <c r="C109" s="13"/>
      <c r="D109" s="8"/>
      <c r="E109" s="112" t="s">
        <v>60</v>
      </c>
      <c r="F109" s="175"/>
      <c r="G109" s="175"/>
      <c r="H109" s="175"/>
      <c r="I109" s="112"/>
      <c r="K109" s="19"/>
      <c r="L109" s="19"/>
      <c r="M109" s="19"/>
      <c r="N109" s="19"/>
      <c r="O109" s="19"/>
    </row>
    <row r="110" spans="1:15" ht="13.2" hidden="1" x14ac:dyDescent="0.25">
      <c r="A110" s="6" t="s">
        <v>60</v>
      </c>
      <c r="B110" s="8"/>
      <c r="C110" s="13"/>
      <c r="D110" s="8"/>
      <c r="E110" s="112" t="s">
        <v>60</v>
      </c>
      <c r="F110" s="175"/>
      <c r="G110" s="175"/>
      <c r="H110" s="175"/>
      <c r="I110" s="112"/>
      <c r="K110" s="19"/>
      <c r="L110" s="19"/>
      <c r="M110" s="19"/>
      <c r="N110" s="19"/>
      <c r="O110" s="19"/>
    </row>
    <row r="111" spans="1:15" ht="13.2" hidden="1" x14ac:dyDescent="0.25">
      <c r="A111" s="6" t="s">
        <v>60</v>
      </c>
      <c r="B111" s="8"/>
      <c r="C111" s="13"/>
      <c r="D111" s="8"/>
      <c r="E111" s="112" t="s">
        <v>60</v>
      </c>
      <c r="F111" s="175"/>
      <c r="G111" s="175"/>
      <c r="H111" s="175"/>
      <c r="I111" s="112"/>
      <c r="K111" s="19"/>
      <c r="L111" s="19"/>
      <c r="M111" s="19"/>
      <c r="N111" s="19"/>
      <c r="O111" s="19"/>
    </row>
    <row r="112" spans="1:15" ht="13.2" hidden="1" x14ac:dyDescent="0.25">
      <c r="A112" s="6" t="s">
        <v>60</v>
      </c>
      <c r="B112" s="8"/>
      <c r="C112" s="13"/>
      <c r="D112" s="8"/>
      <c r="E112" s="112" t="s">
        <v>60</v>
      </c>
      <c r="F112" s="175"/>
      <c r="G112" s="175"/>
      <c r="H112" s="175"/>
      <c r="I112" s="112"/>
      <c r="K112" s="19"/>
      <c r="L112" s="19"/>
      <c r="M112" s="19"/>
      <c r="N112" s="19"/>
      <c r="O112" s="19"/>
    </row>
    <row r="113" spans="1:15" ht="13.2" hidden="1" x14ac:dyDescent="0.25">
      <c r="A113" s="6" t="s">
        <v>60</v>
      </c>
      <c r="B113" s="8"/>
      <c r="C113" s="13"/>
      <c r="D113" s="8"/>
      <c r="E113" s="112" t="s">
        <v>60</v>
      </c>
      <c r="F113" s="175"/>
      <c r="G113" s="175"/>
      <c r="H113" s="175"/>
      <c r="I113" s="112"/>
      <c r="K113" s="19"/>
      <c r="L113" s="19"/>
      <c r="M113" s="19"/>
      <c r="N113" s="19"/>
      <c r="O113" s="19"/>
    </row>
    <row r="114" spans="1:15" ht="13.2" hidden="1" x14ac:dyDescent="0.25">
      <c r="A114" s="6" t="s">
        <v>60</v>
      </c>
      <c r="B114" s="8"/>
      <c r="C114" s="13"/>
      <c r="D114" s="8"/>
      <c r="E114" s="112" t="s">
        <v>60</v>
      </c>
      <c r="F114" s="175"/>
      <c r="G114" s="175"/>
      <c r="H114" s="175"/>
      <c r="I114" s="112"/>
      <c r="K114" s="19"/>
      <c r="L114" s="19"/>
      <c r="M114" s="19"/>
      <c r="N114" s="19"/>
      <c r="O114" s="19"/>
    </row>
    <row r="115" spans="1:15" ht="13.2" hidden="1" x14ac:dyDescent="0.25">
      <c r="A115" s="6" t="s">
        <v>60</v>
      </c>
      <c r="B115" s="8"/>
      <c r="C115" s="13"/>
      <c r="D115" s="8"/>
      <c r="E115" s="112" t="s">
        <v>60</v>
      </c>
      <c r="F115" s="175"/>
      <c r="G115" s="175"/>
      <c r="H115" s="175"/>
      <c r="I115" s="112"/>
      <c r="K115" s="19"/>
      <c r="L115" s="19"/>
      <c r="M115" s="19"/>
      <c r="N115" s="19"/>
      <c r="O115" s="19"/>
    </row>
    <row r="116" spans="1:15" ht="13.2" hidden="1" x14ac:dyDescent="0.25">
      <c r="A116" s="6" t="s">
        <v>60</v>
      </c>
      <c r="B116" s="8"/>
      <c r="C116" s="13"/>
      <c r="D116" s="8"/>
      <c r="E116" s="112" t="s">
        <v>60</v>
      </c>
      <c r="F116" s="175"/>
      <c r="G116" s="175"/>
      <c r="H116" s="175"/>
      <c r="I116" s="112"/>
      <c r="K116" s="19"/>
      <c r="L116" s="19"/>
      <c r="M116" s="19"/>
      <c r="N116" s="19"/>
      <c r="O116" s="19"/>
    </row>
    <row r="117" spans="1:15" ht="13.2" hidden="1" x14ac:dyDescent="0.25">
      <c r="A117" s="6" t="s">
        <v>60</v>
      </c>
      <c r="B117" s="8"/>
      <c r="C117" s="13"/>
      <c r="D117" s="8"/>
      <c r="E117" s="112" t="s">
        <v>60</v>
      </c>
      <c r="F117" s="175"/>
      <c r="G117" s="175"/>
      <c r="H117" s="175"/>
      <c r="I117" s="112"/>
      <c r="K117" s="19"/>
      <c r="L117" s="19"/>
      <c r="M117" s="19"/>
      <c r="N117" s="19"/>
      <c r="O117" s="19"/>
    </row>
    <row r="118" spans="1:15" ht="13.2" hidden="1" x14ac:dyDescent="0.25">
      <c r="A118" s="6" t="s">
        <v>60</v>
      </c>
      <c r="B118" s="8"/>
      <c r="C118" s="13"/>
      <c r="D118" s="8"/>
      <c r="E118" s="112" t="s">
        <v>60</v>
      </c>
      <c r="F118" s="175"/>
      <c r="G118" s="175"/>
      <c r="H118" s="175"/>
      <c r="I118" s="112"/>
      <c r="K118" s="19"/>
      <c r="L118" s="19"/>
      <c r="M118" s="19"/>
      <c r="N118" s="19"/>
      <c r="O118" s="19"/>
    </row>
    <row r="119" spans="1:15" ht="13.2" hidden="1" x14ac:dyDescent="0.25">
      <c r="A119" s="6" t="s">
        <v>60</v>
      </c>
      <c r="B119" s="8"/>
      <c r="C119" s="13"/>
      <c r="D119" s="8"/>
      <c r="E119" s="112" t="s">
        <v>60</v>
      </c>
      <c r="F119" s="175"/>
      <c r="G119" s="175"/>
      <c r="H119" s="175"/>
      <c r="I119" s="112"/>
      <c r="K119" s="19"/>
      <c r="L119" s="19"/>
      <c r="M119" s="19"/>
      <c r="N119" s="19"/>
      <c r="O119" s="19"/>
    </row>
    <row r="120" spans="1:15" ht="13.2" hidden="1" x14ac:dyDescent="0.25">
      <c r="A120" s="6" t="s">
        <v>60</v>
      </c>
      <c r="B120" s="8"/>
      <c r="C120" s="13"/>
      <c r="D120" s="8"/>
      <c r="E120" s="112" t="s">
        <v>60</v>
      </c>
      <c r="F120" s="175"/>
      <c r="G120" s="175"/>
      <c r="H120" s="175"/>
      <c r="I120" s="112"/>
      <c r="K120" s="19"/>
      <c r="L120" s="19"/>
      <c r="M120" s="19"/>
      <c r="N120" s="19"/>
      <c r="O120" s="19"/>
    </row>
    <row r="121" spans="1:15" ht="13.2" hidden="1" x14ac:dyDescent="0.25">
      <c r="A121" s="6" t="s">
        <v>60</v>
      </c>
      <c r="B121" s="8"/>
      <c r="C121" s="13"/>
      <c r="D121" s="8"/>
      <c r="E121" s="112" t="s">
        <v>60</v>
      </c>
      <c r="F121" s="175"/>
      <c r="G121" s="175"/>
      <c r="H121" s="175"/>
      <c r="I121" s="112"/>
      <c r="K121" s="19"/>
      <c r="L121" s="19"/>
      <c r="M121" s="19"/>
      <c r="N121" s="19"/>
      <c r="O121" s="19"/>
    </row>
    <row r="122" spans="1:15" ht="13.2" hidden="1" x14ac:dyDescent="0.25">
      <c r="A122" s="6" t="s">
        <v>60</v>
      </c>
      <c r="B122" s="8"/>
      <c r="C122" s="13"/>
      <c r="D122" s="8"/>
      <c r="E122" s="112" t="s">
        <v>60</v>
      </c>
      <c r="F122" s="175"/>
      <c r="G122" s="175"/>
      <c r="H122" s="175"/>
      <c r="I122" s="112"/>
      <c r="K122" s="19"/>
      <c r="L122" s="19"/>
      <c r="M122" s="19"/>
      <c r="N122" s="19"/>
      <c r="O122" s="19"/>
    </row>
    <row r="123" spans="1:15" ht="13.2" hidden="1" x14ac:dyDescent="0.25">
      <c r="A123" s="6" t="s">
        <v>60</v>
      </c>
      <c r="B123" s="8"/>
      <c r="C123" s="13"/>
      <c r="D123" s="8"/>
      <c r="E123" s="112" t="s">
        <v>60</v>
      </c>
      <c r="F123" s="175"/>
      <c r="G123" s="175"/>
      <c r="H123" s="175"/>
      <c r="I123" s="112"/>
      <c r="K123" s="19"/>
      <c r="L123" s="19"/>
      <c r="M123" s="19"/>
      <c r="N123" s="19"/>
      <c r="O123" s="19"/>
    </row>
    <row r="124" spans="1:15" ht="13.2" hidden="1" x14ac:dyDescent="0.25">
      <c r="A124" s="6" t="s">
        <v>60</v>
      </c>
      <c r="B124" s="8"/>
      <c r="C124" s="13"/>
      <c r="D124" s="8"/>
      <c r="E124" s="112" t="s">
        <v>60</v>
      </c>
      <c r="F124" s="175"/>
      <c r="G124" s="175"/>
      <c r="H124" s="175"/>
      <c r="I124" s="112"/>
      <c r="K124" s="19"/>
      <c r="L124" s="19"/>
      <c r="M124" s="19"/>
      <c r="N124" s="19"/>
      <c r="O124" s="19"/>
    </row>
    <row r="125" spans="1:15" ht="13.2" hidden="1" x14ac:dyDescent="0.25">
      <c r="A125" s="6" t="s">
        <v>60</v>
      </c>
      <c r="B125" s="8"/>
      <c r="C125" s="13"/>
      <c r="D125" s="8"/>
      <c r="E125" s="112" t="s">
        <v>60</v>
      </c>
      <c r="F125" s="175"/>
      <c r="G125" s="175"/>
      <c r="H125" s="175"/>
      <c r="I125" s="112"/>
      <c r="K125" s="19"/>
      <c r="L125" s="19"/>
      <c r="M125" s="19"/>
      <c r="N125" s="19"/>
      <c r="O125" s="19"/>
    </row>
    <row r="126" spans="1:15" ht="13.2" hidden="1" x14ac:dyDescent="0.25">
      <c r="A126" s="6" t="s">
        <v>60</v>
      </c>
      <c r="B126" s="8"/>
      <c r="C126" s="13"/>
      <c r="D126" s="8"/>
      <c r="E126" s="112" t="s">
        <v>60</v>
      </c>
      <c r="F126" s="175"/>
      <c r="G126" s="175"/>
      <c r="H126" s="175"/>
      <c r="I126" s="112"/>
      <c r="K126" s="19"/>
      <c r="L126" s="19"/>
      <c r="M126" s="19"/>
      <c r="N126" s="19"/>
      <c r="O126" s="19"/>
    </row>
    <row r="127" spans="1:15" ht="13.2" hidden="1" x14ac:dyDescent="0.25">
      <c r="A127" s="6" t="s">
        <v>60</v>
      </c>
      <c r="B127" s="8"/>
      <c r="C127" s="13"/>
      <c r="D127" s="8"/>
      <c r="E127" s="112" t="s">
        <v>60</v>
      </c>
      <c r="F127" s="175"/>
      <c r="G127" s="175"/>
      <c r="H127" s="175"/>
      <c r="I127" s="112"/>
      <c r="K127" s="19"/>
      <c r="L127" s="19"/>
      <c r="M127" s="19"/>
      <c r="N127" s="19"/>
      <c r="O127" s="19"/>
    </row>
    <row r="128" spans="1:15" ht="13.2" hidden="1" x14ac:dyDescent="0.25">
      <c r="A128" s="6" t="s">
        <v>60</v>
      </c>
      <c r="B128" s="8"/>
      <c r="C128" s="13"/>
      <c r="D128" s="8"/>
      <c r="E128" s="112" t="s">
        <v>60</v>
      </c>
      <c r="F128" s="175"/>
      <c r="G128" s="175"/>
      <c r="H128" s="175"/>
      <c r="I128" s="112"/>
      <c r="K128" s="19"/>
      <c r="L128" s="19"/>
      <c r="M128" s="19"/>
      <c r="N128" s="19"/>
      <c r="O128" s="19"/>
    </row>
    <row r="129" spans="1:15" ht="13.2" hidden="1" x14ac:dyDescent="0.25">
      <c r="A129" s="6" t="s">
        <v>60</v>
      </c>
      <c r="B129" s="8"/>
      <c r="C129" s="13"/>
      <c r="D129" s="8"/>
      <c r="E129" s="112" t="s">
        <v>60</v>
      </c>
      <c r="F129" s="175"/>
      <c r="G129" s="175"/>
      <c r="H129" s="175"/>
      <c r="I129" s="112"/>
      <c r="K129" s="19"/>
      <c r="L129" s="19"/>
      <c r="M129" s="19"/>
      <c r="N129" s="19"/>
      <c r="O129" s="19"/>
    </row>
    <row r="130" spans="1:15" ht="13.2" hidden="1" x14ac:dyDescent="0.25">
      <c r="A130" s="6" t="s">
        <v>60</v>
      </c>
      <c r="B130" s="8"/>
      <c r="C130" s="13"/>
      <c r="D130" s="8"/>
      <c r="E130" s="112" t="s">
        <v>60</v>
      </c>
      <c r="F130" s="175"/>
      <c r="G130" s="175"/>
      <c r="H130" s="175"/>
      <c r="I130" s="112"/>
      <c r="K130" s="19"/>
      <c r="L130" s="19"/>
      <c r="M130" s="19"/>
      <c r="N130" s="19"/>
      <c r="O130" s="19"/>
    </row>
    <row r="131" spans="1:15" ht="13.2" hidden="1" x14ac:dyDescent="0.25">
      <c r="A131" s="6" t="s">
        <v>60</v>
      </c>
      <c r="B131" s="8"/>
      <c r="C131" s="13"/>
      <c r="D131" s="8"/>
      <c r="E131" s="112" t="s">
        <v>60</v>
      </c>
      <c r="F131" s="175"/>
      <c r="G131" s="175"/>
      <c r="H131" s="175"/>
      <c r="I131" s="112"/>
      <c r="K131" s="19"/>
      <c r="L131" s="19"/>
      <c r="M131" s="19"/>
      <c r="N131" s="19"/>
      <c r="O131" s="19"/>
    </row>
    <row r="132" spans="1:15" ht="13.8" thickBot="1" x14ac:dyDescent="0.3">
      <c r="A132" s="7" t="s">
        <v>66</v>
      </c>
      <c r="B132" s="8"/>
      <c r="C132" s="9">
        <f>IFERROR(IF(G33&gt;0,ROUND(R57-SUM(C56:C131)-T40,0),ROUND(R57-G52/SUM(R55:R57)*R57-SUM(C56:C128),0)),0)</f>
        <v>0</v>
      </c>
      <c r="D132" s="8"/>
      <c r="E132" s="113" t="s">
        <v>67</v>
      </c>
      <c r="F132" s="180">
        <f>G53-SUM(F59:H131)</f>
        <v>0</v>
      </c>
      <c r="G132" s="180"/>
      <c r="H132" s="180"/>
      <c r="I132" s="113"/>
      <c r="K132" s="19"/>
      <c r="L132" s="19"/>
      <c r="M132" s="19"/>
      <c r="N132" s="19"/>
      <c r="O132" s="19"/>
    </row>
    <row r="133" spans="1:15" ht="13.8" thickBot="1" x14ac:dyDescent="0.3">
      <c r="A133" s="11" t="s">
        <v>68</v>
      </c>
      <c r="B133" s="8"/>
      <c r="C133" s="12">
        <f>SUM(C56:C132)</f>
        <v>0</v>
      </c>
      <c r="D133" s="8"/>
      <c r="E133" s="121" t="s">
        <v>21</v>
      </c>
      <c r="F133" s="177">
        <f>SUM(F59:H132)</f>
        <v>0</v>
      </c>
      <c r="G133" s="178"/>
      <c r="H133" s="179"/>
      <c r="I133" s="11"/>
      <c r="K133" s="19"/>
      <c r="L133" s="19"/>
      <c r="M133" s="19"/>
      <c r="N133" s="19"/>
      <c r="O133" s="19"/>
    </row>
    <row r="134" spans="1:15" ht="13.2" x14ac:dyDescent="0.25">
      <c r="A134" s="8"/>
      <c r="B134" s="8"/>
      <c r="C134" s="8"/>
      <c r="D134" s="8"/>
      <c r="E134" s="8"/>
      <c r="F134" s="8"/>
      <c r="G134" s="8"/>
      <c r="H134" s="8"/>
      <c r="I134" s="8"/>
      <c r="K134" s="19"/>
      <c r="L134" s="19"/>
      <c r="M134" s="19"/>
      <c r="N134" s="19"/>
      <c r="O134" s="19"/>
    </row>
    <row r="135" spans="1:15" ht="13.2" x14ac:dyDescent="0.25">
      <c r="K135" s="10"/>
      <c r="L135" s="10"/>
      <c r="M135" s="10"/>
      <c r="N135" s="10"/>
      <c r="O135" s="10"/>
    </row>
    <row r="136" spans="1:15" ht="13.2" hidden="1" x14ac:dyDescent="0.25">
      <c r="K136" s="10"/>
      <c r="L136" s="10"/>
      <c r="M136" s="10"/>
      <c r="N136" s="10"/>
      <c r="O136" s="10"/>
    </row>
    <row r="137" spans="1:15" ht="13.2" hidden="1" x14ac:dyDescent="0.25"/>
    <row r="138" spans="1:15" ht="13.2" hidden="1" x14ac:dyDescent="0.25"/>
    <row r="139" spans="1:15" ht="13.2" hidden="1" x14ac:dyDescent="0.25"/>
    <row r="140" spans="1:15" ht="13.2" hidden="1" x14ac:dyDescent="0.25"/>
    <row r="141" spans="1:15" ht="13.2" hidden="1" x14ac:dyDescent="0.25"/>
  </sheetData>
  <sheetProtection algorithmName="SHA-512" hashValue="R4dUg+HNnWvepS8q5ECIUYpMrtYsCMrXg0KtwYzt4JLR/13HLG9xJ16hGmWWLiqsPZ6KgVGL60R00FYbxuWeeQ==" saltValue="CpapdjG9ODpEA5PZ3QkL4g==" spinCount="100000" sheet="1" formatColumns="0" formatRows="0" insertColumns="0" insertRows="0" selectLockedCells="1"/>
  <mergeCells count="108">
    <mergeCell ref="F130:H130"/>
    <mergeCell ref="F131:H131"/>
    <mergeCell ref="F132:H132"/>
    <mergeCell ref="F133:H133"/>
    <mergeCell ref="F124:H124"/>
    <mergeCell ref="F125:H125"/>
    <mergeCell ref="F126:H126"/>
    <mergeCell ref="F127:H127"/>
    <mergeCell ref="F128:H128"/>
    <mergeCell ref="F129:H129"/>
    <mergeCell ref="F118:H118"/>
    <mergeCell ref="F119:H119"/>
    <mergeCell ref="F120:H120"/>
    <mergeCell ref="F121:H121"/>
    <mergeCell ref="F122:H122"/>
    <mergeCell ref="F123:H123"/>
    <mergeCell ref="F112:H112"/>
    <mergeCell ref="F113:H113"/>
    <mergeCell ref="F114:H114"/>
    <mergeCell ref="F115:H115"/>
    <mergeCell ref="F116:H116"/>
    <mergeCell ref="F117:H117"/>
    <mergeCell ref="F106:H106"/>
    <mergeCell ref="F107:H107"/>
    <mergeCell ref="F108:H108"/>
    <mergeCell ref="F109:H109"/>
    <mergeCell ref="F110:H110"/>
    <mergeCell ref="F111:H111"/>
    <mergeCell ref="F100:H100"/>
    <mergeCell ref="F101:H101"/>
    <mergeCell ref="F102:H102"/>
    <mergeCell ref="F103:H103"/>
    <mergeCell ref="F104:H104"/>
    <mergeCell ref="F105:H105"/>
    <mergeCell ref="F94:H94"/>
    <mergeCell ref="F95:H95"/>
    <mergeCell ref="F96:H96"/>
    <mergeCell ref="F97:H97"/>
    <mergeCell ref="F98:H98"/>
    <mergeCell ref="F99:H99"/>
    <mergeCell ref="F88:H88"/>
    <mergeCell ref="F89:H89"/>
    <mergeCell ref="F90:H90"/>
    <mergeCell ref="F91:H91"/>
    <mergeCell ref="F92:H92"/>
    <mergeCell ref="F93:H93"/>
    <mergeCell ref="F82:H82"/>
    <mergeCell ref="F83:H83"/>
    <mergeCell ref="F84:H84"/>
    <mergeCell ref="F85:H85"/>
    <mergeCell ref="F86:H86"/>
    <mergeCell ref="F87:H87"/>
    <mergeCell ref="F76:H76"/>
    <mergeCell ref="F77:H77"/>
    <mergeCell ref="F78:H78"/>
    <mergeCell ref="F79:H79"/>
    <mergeCell ref="F80:H80"/>
    <mergeCell ref="F81:H81"/>
    <mergeCell ref="F70:H70"/>
    <mergeCell ref="F71:H71"/>
    <mergeCell ref="F72:H72"/>
    <mergeCell ref="F73:H73"/>
    <mergeCell ref="F74:H74"/>
    <mergeCell ref="F75:H75"/>
    <mergeCell ref="F64:H64"/>
    <mergeCell ref="F65:H65"/>
    <mergeCell ref="F66:H66"/>
    <mergeCell ref="F67:H67"/>
    <mergeCell ref="F68:H68"/>
    <mergeCell ref="F69:H69"/>
    <mergeCell ref="F59:H59"/>
    <mergeCell ref="F60:H60"/>
    <mergeCell ref="F61:H61"/>
    <mergeCell ref="F62:H62"/>
    <mergeCell ref="F63:H63"/>
    <mergeCell ref="C37:D37"/>
    <mergeCell ref="K39:O42"/>
    <mergeCell ref="E50:F51"/>
    <mergeCell ref="G50:G51"/>
    <mergeCell ref="E55:I55"/>
    <mergeCell ref="E56:I57"/>
    <mergeCell ref="K56:O61"/>
    <mergeCell ref="E58:I58"/>
    <mergeCell ref="K34:O37"/>
    <mergeCell ref="K31:O32"/>
    <mergeCell ref="C32:D32"/>
    <mergeCell ref="C33:D33"/>
    <mergeCell ref="C34:D34"/>
    <mergeCell ref="E34:I34"/>
    <mergeCell ref="C35:D35"/>
    <mergeCell ref="K14:O15"/>
    <mergeCell ref="K17:O17"/>
    <mergeCell ref="C18:D18"/>
    <mergeCell ref="K20:O23"/>
    <mergeCell ref="K25:O28"/>
    <mergeCell ref="E28:F28"/>
    <mergeCell ref="A10:C11"/>
    <mergeCell ref="D10:D11"/>
    <mergeCell ref="E10:F11"/>
    <mergeCell ref="K10:O12"/>
    <mergeCell ref="B12:D13"/>
    <mergeCell ref="E12:F13"/>
    <mergeCell ref="D2:E2"/>
    <mergeCell ref="B5:D5"/>
    <mergeCell ref="F5:G5"/>
    <mergeCell ref="B6:D6"/>
    <mergeCell ref="F6:G6"/>
    <mergeCell ref="B7:D7"/>
  </mergeCells>
  <conditionalFormatting sqref="C36">
    <cfRule type="cellIs" dxfId="28" priority="16" operator="between">
      <formula>1</formula>
      <formula>341</formula>
    </cfRule>
    <cfRule type="expression" dxfId="14" priority="17">
      <formula>$A$36&lt;&gt;""</formula>
    </cfRule>
  </conditionalFormatting>
  <conditionalFormatting sqref="C50">
    <cfRule type="cellIs" dxfId="27" priority="13" operator="equal">
      <formula>$D$47&lt;&gt;"Niet toegestaan"</formula>
    </cfRule>
  </conditionalFormatting>
  <conditionalFormatting sqref="C35:D35">
    <cfRule type="containsText" dxfId="26" priority="9" operator="containsText" text="e">
      <formula>NOT(ISERROR(SEARCH("e",C35)))</formula>
    </cfRule>
    <cfRule type="expression" dxfId="25" priority="10">
      <formula>$A$35&lt;&gt;""</formula>
    </cfRule>
  </conditionalFormatting>
  <conditionalFormatting sqref="E12:F13">
    <cfRule type="containsText" dxfId="24" priority="4" operator="containsText" text="u">
      <formula>NOT(ISERROR(SEARCH("u",E12)))</formula>
    </cfRule>
    <cfRule type="cellIs" dxfId="23" priority="5" operator="equal">
      <formula>$A$36&lt;&gt;"Aantal uur verlof"</formula>
    </cfRule>
  </conditionalFormatting>
  <conditionalFormatting sqref="E36:H36">
    <cfRule type="cellIs" dxfId="22" priority="6" operator="equal">
      <formula>$F$32&lt;&gt;"Werktijdfactor verlof"</formula>
    </cfRule>
    <cfRule type="cellIs" dxfId="21" priority="8" operator="between">
      <formula>0.0001</formula>
      <formula>99999</formula>
    </cfRule>
  </conditionalFormatting>
  <conditionalFormatting sqref="F132">
    <cfRule type="cellIs" dxfId="20" priority="1" operator="lessThan">
      <formula>0</formula>
    </cfRule>
  </conditionalFormatting>
  <conditionalFormatting sqref="G32:H32">
    <cfRule type="cellIs" dxfId="19" priority="14" operator="equal">
      <formula>$C$32&lt;&gt;"Ja"</formula>
    </cfRule>
    <cfRule type="cellIs" dxfId="18" priority="15" operator="between">
      <formula>1</formula>
      <formula>1300</formula>
    </cfRule>
  </conditionalFormatting>
  <conditionalFormatting sqref="G33:H33">
    <cfRule type="cellIs" dxfId="17" priority="11" operator="equal">
      <formula>$C$33&lt;&gt;"Ja"</formula>
    </cfRule>
    <cfRule type="cellIs" dxfId="16" priority="12" operator="between">
      <formula>0.1</formula>
      <formula>1</formula>
    </cfRule>
  </conditionalFormatting>
  <conditionalFormatting sqref="G37:H37">
    <cfRule type="cellIs" dxfId="15" priority="7" operator="equal">
      <formula>$F$32&lt;&gt;"Werktijdfactor verlof"</formula>
    </cfRule>
  </conditionalFormatting>
  <dataValidations count="4">
    <dataValidation type="list" allowBlank="1" showInputMessage="1" showErrorMessage="1" sqref="C35:D35" xr:uid="{04C71281-B2CC-4F2B-AE6C-D76A453F1908}">
      <formula1>$R$27:$R$29</formula1>
    </dataValidation>
    <dataValidation type="list" allowBlank="1" showInputMessage="1" showErrorMessage="1" sqref="C32:C33" xr:uid="{9F6AEB35-83AB-4E64-8786-B1FDC491264A}">
      <formula1>"Ja,Nee"</formula1>
    </dataValidation>
    <dataValidation type="decimal" errorStyle="warning" operator="equal" allowBlank="1" showInputMessage="1" showErrorMessage="1" errorTitle="Let op" error="Het aantal lesuren van deze werknemer wijkt af van het ingevoerde schoolbrede aantal" sqref="D20:D24" xr:uid="{E2CEDA5E-D511-48F6-A785-64C4BE700C40}">
      <formula1>C20</formula1>
    </dataValidation>
    <dataValidation allowBlank="1" showInputMessage="1" showErrorMessage="1" errorTitle="Ongeldige invoer" error="Het ingevulde aantal uur verlof overstijgt het totaal aantal lesuren. Kies voor een lager aantal uur verlof." sqref="E36:H36" xr:uid="{9AA4182B-0604-4395-99C4-157437070C4F}"/>
  </dataValidations>
  <pageMargins left="0.7" right="0.7" top="0.75" bottom="0.75" header="0.3" footer="0.3"/>
  <pageSetup scale="87" orientation="portrait" horizontalDpi="1200" verticalDpi="1200" r:id="rId1"/>
  <rowBreaks count="1" manualBreakCount="1">
    <brk id="46"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82C79-5BEC-498F-B968-6B16624B4BEF}">
  <dimension ref="A1:T86"/>
  <sheetViews>
    <sheetView zoomScaleNormal="100" workbookViewId="0">
      <selection activeCell="C32" sqref="C32:D32"/>
    </sheetView>
  </sheetViews>
  <sheetFormatPr defaultColWidth="0" defaultRowHeight="12.75" customHeight="1" zeroHeight="1" x14ac:dyDescent="0.25"/>
  <cols>
    <col min="1" max="1" width="12.33203125" customWidth="1"/>
    <col min="2" max="3" width="14.33203125" customWidth="1"/>
    <col min="4" max="4" width="11.33203125" customWidth="1"/>
    <col min="5" max="5" width="14.33203125" customWidth="1"/>
    <col min="6" max="6" width="13.33203125" customWidth="1"/>
    <col min="7" max="7" width="14.33203125" customWidth="1"/>
    <col min="8" max="8" width="9" customWidth="1"/>
    <col min="9" max="9" width="2" style="19" customWidth="1"/>
    <col min="10" max="14" width="13.6640625" style="8" customWidth="1"/>
    <col min="15" max="15" width="9.33203125" hidden="1" customWidth="1"/>
    <col min="16" max="17" width="9.44140625" hidden="1" customWidth="1"/>
    <col min="18" max="16384" width="9.33203125" hidden="1"/>
  </cols>
  <sheetData>
    <row r="1" spans="1:18" ht="13.2" x14ac:dyDescent="0.25">
      <c r="A1" s="84" t="str">
        <f>'wtf OP, obv dagdelen onderbouw'!A1</f>
        <v>Versie mei 2026</v>
      </c>
      <c r="B1" s="8"/>
      <c r="C1" s="8"/>
      <c r="D1" s="8"/>
      <c r="E1" s="8"/>
      <c r="F1" s="8"/>
      <c r="G1" s="8"/>
      <c r="J1" s="19"/>
      <c r="K1" s="19"/>
      <c r="L1" s="19"/>
      <c r="M1" s="19"/>
      <c r="N1" s="19"/>
      <c r="R1" s="24"/>
    </row>
    <row r="2" spans="1:18" ht="17.399999999999999" x14ac:dyDescent="0.3">
      <c r="A2" s="79" t="s">
        <v>103</v>
      </c>
      <c r="B2" s="8"/>
      <c r="C2" s="8"/>
      <c r="D2" s="216"/>
      <c r="E2" s="216"/>
      <c r="F2" s="8"/>
      <c r="G2" s="8"/>
      <c r="H2" s="8"/>
      <c r="J2" s="19"/>
      <c r="K2" s="19"/>
      <c r="L2" s="19"/>
      <c r="M2" s="19"/>
      <c r="N2" s="19"/>
      <c r="R2" s="24"/>
    </row>
    <row r="3" spans="1:18" ht="13.2" x14ac:dyDescent="0.25">
      <c r="A3" s="8"/>
      <c r="B3" s="8"/>
      <c r="C3" s="8"/>
      <c r="D3" s="8"/>
      <c r="E3" s="8"/>
      <c r="F3" s="8"/>
      <c r="G3" s="8"/>
      <c r="H3" s="8"/>
      <c r="J3" s="19"/>
      <c r="K3" s="19"/>
      <c r="L3" s="19"/>
      <c r="M3" s="19"/>
      <c r="N3" s="19"/>
    </row>
    <row r="4" spans="1:18" ht="13.2" x14ac:dyDescent="0.25">
      <c r="A4" s="25" t="s">
        <v>1</v>
      </c>
      <c r="B4" s="8"/>
      <c r="C4" s="8"/>
      <c r="D4" s="8"/>
      <c r="E4" s="25" t="s">
        <v>2</v>
      </c>
      <c r="F4" s="8"/>
      <c r="G4" s="8"/>
      <c r="H4" s="8"/>
      <c r="J4" s="19"/>
      <c r="K4" s="19"/>
      <c r="L4" s="19"/>
      <c r="M4" s="19"/>
      <c r="N4" s="19"/>
    </row>
    <row r="5" spans="1:18" ht="13.2" x14ac:dyDescent="0.25">
      <c r="A5" s="8" t="s">
        <v>3</v>
      </c>
      <c r="B5" s="153"/>
      <c r="C5" s="153"/>
      <c r="D5" s="153"/>
      <c r="E5" s="8" t="s">
        <v>4</v>
      </c>
      <c r="F5" s="153"/>
      <c r="G5" s="153"/>
      <c r="H5" s="8"/>
      <c r="J5" s="19"/>
      <c r="K5" s="19"/>
      <c r="L5" s="19"/>
      <c r="M5" s="19"/>
      <c r="N5" s="19"/>
    </row>
    <row r="6" spans="1:18" ht="13.2" x14ac:dyDescent="0.25">
      <c r="A6" s="8" t="s">
        <v>5</v>
      </c>
      <c r="B6" s="153"/>
      <c r="C6" s="153"/>
      <c r="D6" s="153"/>
      <c r="E6" s="8" t="s">
        <v>6</v>
      </c>
      <c r="F6" s="153"/>
      <c r="G6" s="153"/>
      <c r="H6" s="8"/>
      <c r="J6" s="19"/>
      <c r="K6" s="19"/>
      <c r="L6" s="19"/>
      <c r="M6" s="19"/>
      <c r="N6" s="19"/>
    </row>
    <row r="7" spans="1:18" ht="13.2" x14ac:dyDescent="0.25">
      <c r="A7" s="8" t="s">
        <v>7</v>
      </c>
      <c r="B7" s="153"/>
      <c r="C7" s="153"/>
      <c r="D7" s="153"/>
      <c r="E7" s="8"/>
      <c r="F7" s="8"/>
      <c r="G7" s="8"/>
      <c r="H7" s="8"/>
      <c r="J7" s="19"/>
      <c r="K7" s="19"/>
      <c r="L7" s="19"/>
      <c r="M7" s="19"/>
      <c r="N7" s="19"/>
      <c r="R7" s="11"/>
    </row>
    <row r="8" spans="1:18" ht="13.2" x14ac:dyDescent="0.25">
      <c r="A8" s="8" t="s">
        <v>70</v>
      </c>
      <c r="B8" s="186"/>
      <c r="C8" s="186"/>
      <c r="D8" s="186"/>
      <c r="E8" s="186"/>
      <c r="F8" s="186"/>
      <c r="G8" s="186"/>
      <c r="H8" s="186"/>
      <c r="J8" s="19"/>
      <c r="K8" s="19"/>
      <c r="L8" s="19"/>
      <c r="M8" s="19"/>
      <c r="N8" s="19"/>
      <c r="R8" s="11"/>
    </row>
    <row r="9" spans="1:18" ht="13.8" thickBot="1" x14ac:dyDescent="0.3">
      <c r="A9" s="27"/>
      <c r="B9" s="27"/>
      <c r="C9" s="27"/>
      <c r="D9" s="27"/>
      <c r="E9" s="27"/>
      <c r="F9" s="27"/>
      <c r="G9" s="27"/>
      <c r="H9" s="27"/>
      <c r="I9" s="28"/>
      <c r="J9" s="28"/>
      <c r="K9" s="28"/>
      <c r="L9" s="28"/>
      <c r="M9" s="28"/>
      <c r="N9" s="28"/>
    </row>
    <row r="10" spans="1:18" ht="13.8" thickBot="1" x14ac:dyDescent="0.3">
      <c r="A10" s="8"/>
      <c r="B10" s="8"/>
      <c r="C10" s="8"/>
      <c r="D10" s="8"/>
      <c r="E10" s="8"/>
      <c r="F10" s="8"/>
      <c r="G10" s="8"/>
      <c r="H10" s="8"/>
      <c r="J10" s="29" t="s">
        <v>10</v>
      </c>
      <c r="K10" s="29"/>
      <c r="L10" s="29"/>
      <c r="M10" s="29"/>
      <c r="N10" s="29"/>
    </row>
    <row r="11" spans="1:18" ht="12.75" customHeight="1" x14ac:dyDescent="0.25">
      <c r="A11" s="210" t="s">
        <v>104</v>
      </c>
      <c r="B11" s="210"/>
      <c r="C11" s="210"/>
      <c r="D11" s="211"/>
      <c r="E11" s="213" t="str">
        <f>IF(D11&gt;0,FLOOR(D11*40,1)&amp;" uur"&amp;IF((ROUND((D11*40-FLOOR(D11*40,1))*60,0))=0,""," en "&amp;ROUND((D11*40-FLOOR(D11*40,1))*60,0)&amp;" minuten"),"")</f>
        <v/>
      </c>
      <c r="F11" s="214"/>
      <c r="G11" s="8"/>
      <c r="H11" s="8"/>
      <c r="J11" s="147" t="s">
        <v>105</v>
      </c>
      <c r="K11" s="147"/>
      <c r="L11" s="147"/>
      <c r="M11" s="147"/>
      <c r="N11" s="147"/>
    </row>
    <row r="12" spans="1:18" ht="12.75" customHeight="1" thickBot="1" x14ac:dyDescent="0.3">
      <c r="A12" s="210"/>
      <c r="B12" s="210"/>
      <c r="C12" s="210"/>
      <c r="D12" s="212"/>
      <c r="E12" s="213"/>
      <c r="F12" s="214"/>
      <c r="G12" s="8"/>
      <c r="H12" s="8"/>
      <c r="J12" s="147"/>
      <c r="K12" s="147"/>
      <c r="L12" s="147"/>
      <c r="M12" s="147"/>
      <c r="N12" s="147"/>
    </row>
    <row r="13" spans="1:18" ht="12.75" customHeight="1" x14ac:dyDescent="0.25">
      <c r="A13" s="131"/>
      <c r="B13" s="215" t="str">
        <f>IF(C34&gt;0,"Werktijdfactor exclusief verlof duurzame inzetbaarheid:",IF(G31&gt;0,"Werktijdfactor exclusief ouderschapsverlof:",""))</f>
        <v/>
      </c>
      <c r="C13" s="215"/>
      <c r="D13" s="215"/>
      <c r="E13" s="215" t="str">
        <f>IF(C34&gt;0,FLOOR((D11-(G40/1659))*40,1)&amp;" uur"&amp;IF((ROUND(((D11-(G40/1659))*40-FLOOR((D11-(G40/1659))*40,1))*60,0))=0,""," en "&amp;ROUND(((D11-(G40/1659))*40-FLOOR((D11-(G40/1659))*40,1))*60,0)&amp;" minuten"),IF(G31&gt;0,FLOOR((D11-(G40/1659))*40,1)&amp;" uur"&amp;IF((ROUND(((D11-(G40/1659))*40-FLOOR((D11-(G40/1659))*40,1))*60,0))=0,""," en "&amp;ROUND(((D11-(G40/1659))*40-FLOOR((D11-(G40/1659))*40,1))*60,0)&amp;" minuten"),""))</f>
        <v/>
      </c>
      <c r="F13" s="215"/>
      <c r="G13" s="8"/>
      <c r="H13" s="8"/>
      <c r="J13" s="147"/>
      <c r="K13" s="147"/>
      <c r="L13" s="147"/>
      <c r="M13" s="147"/>
      <c r="N13" s="147"/>
    </row>
    <row r="14" spans="1:18" ht="12.75" customHeight="1" x14ac:dyDescent="0.25">
      <c r="A14" s="131"/>
      <c r="B14" s="215"/>
      <c r="C14" s="215"/>
      <c r="D14" s="215"/>
      <c r="E14" s="215"/>
      <c r="F14" s="215"/>
      <c r="G14" s="8"/>
      <c r="H14" s="8"/>
      <c r="J14" s="119"/>
      <c r="K14" s="119"/>
      <c r="L14" s="119"/>
      <c r="M14" s="119"/>
      <c r="N14" s="119"/>
    </row>
    <row r="15" spans="1:18" ht="12.75" customHeight="1" x14ac:dyDescent="0.25">
      <c r="A15" s="131"/>
      <c r="B15" s="131"/>
      <c r="C15" s="131"/>
      <c r="D15" s="132"/>
      <c r="E15" s="132"/>
      <c r="F15" s="132"/>
      <c r="G15" s="8"/>
      <c r="H15" s="8"/>
      <c r="J15" s="173"/>
      <c r="K15" s="173"/>
      <c r="L15" s="173"/>
      <c r="M15" s="173"/>
      <c r="N15" s="173"/>
    </row>
    <row r="16" spans="1:18" ht="12.75" customHeight="1" x14ac:dyDescent="0.25">
      <c r="A16" s="8" t="s">
        <v>106</v>
      </c>
      <c r="B16" s="11"/>
      <c r="C16" s="4"/>
      <c r="D16" s="8"/>
      <c r="E16" s="8"/>
      <c r="F16" s="133"/>
      <c r="G16" s="8"/>
      <c r="H16" s="8"/>
      <c r="J16" s="173"/>
      <c r="K16" s="173"/>
      <c r="L16" s="173"/>
      <c r="M16" s="173"/>
      <c r="N16" s="173"/>
    </row>
    <row r="17" spans="1:19" ht="13.8" thickBot="1" x14ac:dyDescent="0.3">
      <c r="A17" s="27"/>
      <c r="B17" s="27"/>
      <c r="C17" s="27"/>
      <c r="D17" s="27"/>
      <c r="E17" s="27"/>
      <c r="F17" s="27"/>
      <c r="G17" s="27"/>
      <c r="H17" s="27"/>
      <c r="I17" s="28"/>
      <c r="J17" s="134"/>
      <c r="K17" s="134"/>
      <c r="L17" s="134"/>
      <c r="M17" s="134"/>
      <c r="N17" s="134"/>
    </row>
    <row r="18" spans="1:19" ht="13.2" x14ac:dyDescent="0.25">
      <c r="A18" s="8"/>
      <c r="B18" s="8"/>
      <c r="C18" s="8"/>
      <c r="D18" s="8"/>
      <c r="E18" s="8"/>
      <c r="F18" s="8"/>
      <c r="G18" s="8"/>
      <c r="H18" s="8"/>
      <c r="J18" s="221"/>
      <c r="K18" s="221"/>
      <c r="L18" s="221"/>
      <c r="M18" s="221"/>
      <c r="N18" s="221"/>
    </row>
    <row r="19" spans="1:19" ht="12.75" customHeight="1" x14ac:dyDescent="0.25">
      <c r="A19" s="30"/>
      <c r="B19" s="156" t="s">
        <v>107</v>
      </c>
      <c r="C19" s="156"/>
      <c r="D19" s="8"/>
      <c r="E19" s="8"/>
      <c r="F19" s="30"/>
      <c r="G19" s="30"/>
      <c r="H19" s="30"/>
      <c r="J19" s="135"/>
      <c r="K19" s="135"/>
      <c r="L19" s="135"/>
      <c r="M19" s="135"/>
      <c r="N19" s="135"/>
    </row>
    <row r="20" spans="1:19" ht="13.2" x14ac:dyDescent="0.25">
      <c r="A20" s="30"/>
      <c r="B20" s="31" t="s">
        <v>13</v>
      </c>
      <c r="C20" s="31" t="s">
        <v>14</v>
      </c>
      <c r="D20" s="8"/>
      <c r="E20" s="11" t="s">
        <v>108</v>
      </c>
      <c r="F20" s="11"/>
      <c r="G20" s="11"/>
      <c r="H20" s="8"/>
      <c r="J20" s="40"/>
      <c r="K20" s="40"/>
      <c r="L20" s="40"/>
      <c r="M20" s="40"/>
      <c r="N20" s="40"/>
      <c r="P20" s="129">
        <f ca="1">YEAR(NOW())-YEAR(C32)</f>
        <v>126</v>
      </c>
      <c r="Q20">
        <f ca="1">YEAR(NOW())</f>
        <v>2026</v>
      </c>
    </row>
    <row r="21" spans="1:19" ht="12.75" customHeight="1" x14ac:dyDescent="0.25">
      <c r="A21" s="136" t="s">
        <v>15</v>
      </c>
      <c r="B21" s="137"/>
      <c r="C21" s="2"/>
      <c r="D21" s="8"/>
      <c r="E21" s="6" t="s">
        <v>38</v>
      </c>
      <c r="F21" s="11"/>
      <c r="G21" s="20"/>
      <c r="H21" s="138"/>
      <c r="J21" s="147" t="s">
        <v>109</v>
      </c>
      <c r="K21" s="147"/>
      <c r="L21" s="147"/>
      <c r="M21" s="147"/>
      <c r="N21" s="147"/>
      <c r="P21" s="41">
        <v>21459</v>
      </c>
      <c r="Q21" s="41">
        <f ca="1">DATE((Q20-57),MONTH(C32),DAY(C32))</f>
        <v>25203</v>
      </c>
    </row>
    <row r="22" spans="1:19" ht="13.2" x14ac:dyDescent="0.25">
      <c r="A22" s="136" t="s">
        <v>16</v>
      </c>
      <c r="B22" s="137"/>
      <c r="C22" s="2"/>
      <c r="D22" s="8"/>
      <c r="E22" s="6" t="s">
        <v>38</v>
      </c>
      <c r="F22" s="11"/>
      <c r="G22" s="20"/>
      <c r="H22" s="138"/>
      <c r="J22" s="147"/>
      <c r="K22" s="147"/>
      <c r="L22" s="147"/>
      <c r="M22" s="147"/>
      <c r="N22" s="147"/>
      <c r="P22" s="41"/>
      <c r="Q22" t="str">
        <f>IF(C32="","",IF(C32&lt;=P21,"Overgangsregeling 56+",IF(C32&lt;=Q21,"Basis en bijzonder budget","")))</f>
        <v/>
      </c>
    </row>
    <row r="23" spans="1:19" ht="13.2" x14ac:dyDescent="0.25">
      <c r="A23" s="136" t="s">
        <v>17</v>
      </c>
      <c r="B23" s="137"/>
      <c r="C23" s="2"/>
      <c r="D23" s="8"/>
      <c r="E23" s="6" t="s">
        <v>40</v>
      </c>
      <c r="F23" s="11"/>
      <c r="G23" s="20"/>
      <c r="H23" s="138"/>
      <c r="J23" s="147"/>
      <c r="K23" s="147"/>
      <c r="L23" s="147"/>
      <c r="M23" s="147"/>
      <c r="N23" s="147"/>
      <c r="Q23" t="str">
        <f>IF(C32="","",IF(C32&lt;=P21,"Basis en bijzonder budget",IF(C32&lt;=Q21,"Enkel basis budget","")))</f>
        <v/>
      </c>
    </row>
    <row r="24" spans="1:19" ht="12.75" customHeight="1" x14ac:dyDescent="0.25">
      <c r="A24" s="136" t="s">
        <v>19</v>
      </c>
      <c r="B24" s="137"/>
      <c r="C24" s="2"/>
      <c r="D24" s="8"/>
      <c r="E24" s="6" t="s">
        <v>41</v>
      </c>
      <c r="F24" s="11"/>
      <c r="G24" s="20"/>
      <c r="H24" s="138"/>
      <c r="J24" s="147"/>
      <c r="K24" s="147"/>
      <c r="L24" s="147"/>
      <c r="M24" s="147"/>
      <c r="N24" s="147"/>
      <c r="Q24" t="str">
        <f>IF(C32="","",IF(C32&lt;=P21,"Enkel basis budget",""))</f>
        <v/>
      </c>
    </row>
    <row r="25" spans="1:19" ht="12.75" customHeight="1" x14ac:dyDescent="0.25">
      <c r="A25" s="136" t="s">
        <v>20</v>
      </c>
      <c r="B25" s="137"/>
      <c r="C25" s="2"/>
      <c r="D25" s="8"/>
      <c r="E25" s="6" t="s">
        <v>42</v>
      </c>
      <c r="F25" s="11"/>
      <c r="G25" s="20"/>
      <c r="H25" s="138"/>
      <c r="J25" s="173" t="s">
        <v>110</v>
      </c>
      <c r="K25" s="173"/>
      <c r="L25" s="173"/>
      <c r="M25" s="173"/>
      <c r="N25" s="173"/>
    </row>
    <row r="26" spans="1:19" ht="12.75" customHeight="1" x14ac:dyDescent="0.25">
      <c r="A26" s="139" t="s">
        <v>21</v>
      </c>
      <c r="B26" s="118">
        <f>SUM(B21:B25)</f>
        <v>0</v>
      </c>
      <c r="C26" s="118">
        <f>SUM(C21:C25)</f>
        <v>0</v>
      </c>
      <c r="E26" s="11" t="s">
        <v>21</v>
      </c>
      <c r="F26" s="11"/>
      <c r="G26" s="52">
        <f>SUM(G21:G25)</f>
        <v>0</v>
      </c>
      <c r="H26" s="11"/>
      <c r="J26" s="173"/>
      <c r="K26" s="173"/>
      <c r="L26" s="173"/>
      <c r="M26" s="173"/>
      <c r="N26" s="173"/>
      <c r="P26" t="s">
        <v>30</v>
      </c>
    </row>
    <row r="27" spans="1:19" ht="13.8" thickBot="1" x14ac:dyDescent="0.3">
      <c r="A27" s="45"/>
      <c r="B27" s="45"/>
      <c r="C27" s="45"/>
      <c r="D27" s="46"/>
      <c r="E27" s="45"/>
      <c r="F27" s="45"/>
      <c r="G27" s="45"/>
      <c r="H27" s="45"/>
      <c r="I27" s="47"/>
      <c r="J27" s="174"/>
      <c r="K27" s="174"/>
      <c r="L27" s="174"/>
      <c r="M27" s="174"/>
      <c r="N27" s="174"/>
      <c r="P27" t="s">
        <v>32</v>
      </c>
    </row>
    <row r="28" spans="1:19" ht="13.2" x14ac:dyDescent="0.25">
      <c r="A28" s="11"/>
      <c r="B28" s="11"/>
      <c r="C28" s="11"/>
      <c r="D28" s="8"/>
      <c r="E28" s="11"/>
      <c r="F28" s="11"/>
      <c r="G28" s="11"/>
      <c r="H28" s="11"/>
      <c r="I28" s="39"/>
    </row>
    <row r="29" spans="1:19" ht="12.75" customHeight="1" x14ac:dyDescent="0.25">
      <c r="A29" s="11" t="s">
        <v>28</v>
      </c>
      <c r="B29" s="11"/>
      <c r="C29" s="11"/>
      <c r="D29" s="8"/>
      <c r="E29" s="11"/>
      <c r="F29" s="11"/>
      <c r="G29" s="11"/>
      <c r="H29" s="11"/>
      <c r="J29" s="217" t="s">
        <v>111</v>
      </c>
      <c r="K29" s="217"/>
      <c r="L29" s="217"/>
      <c r="M29" s="217"/>
      <c r="N29" s="217"/>
      <c r="P29" t="s">
        <v>35</v>
      </c>
    </row>
    <row r="30" spans="1:19" ht="13.2" x14ac:dyDescent="0.25">
      <c r="A30" s="8" t="s">
        <v>112</v>
      </c>
      <c r="B30" s="11"/>
      <c r="C30" s="218" t="s">
        <v>113</v>
      </c>
      <c r="D30" s="219"/>
      <c r="E30" s="8" t="str">
        <f>IF(C30="ja","Aantal uren verlof per jaar","")</f>
        <v/>
      </c>
      <c r="G30" s="5">
        <v>0</v>
      </c>
      <c r="H30" s="11"/>
      <c r="J30" s="217"/>
      <c r="K30" s="217"/>
      <c r="L30" s="217"/>
      <c r="M30" s="217"/>
      <c r="N30" s="217"/>
      <c r="P30" t="s">
        <v>36</v>
      </c>
      <c r="R30" s="89">
        <f>G31*1659</f>
        <v>0</v>
      </c>
      <c r="S30" s="89"/>
    </row>
    <row r="31" spans="1:19" ht="13.2" x14ac:dyDescent="0.25">
      <c r="A31" s="8" t="s">
        <v>33</v>
      </c>
      <c r="B31" s="11"/>
      <c r="C31" s="218"/>
      <c r="D31" s="219"/>
      <c r="E31" s="8" t="str">
        <f>IF(C31="Ja","Werktijdfactor verlof","")</f>
        <v/>
      </c>
      <c r="F31" s="8"/>
      <c r="G31" s="5"/>
      <c r="H31" s="11"/>
      <c r="J31" s="115"/>
      <c r="K31" s="115"/>
      <c r="L31" s="115"/>
      <c r="M31" s="115"/>
      <c r="N31" s="115"/>
      <c r="P31" s="88">
        <v>0</v>
      </c>
      <c r="Q31" s="89"/>
      <c r="R31" s="90" t="e">
        <f>P31/SUM($P$31:$P$35)</f>
        <v>#DIV/0!</v>
      </c>
      <c r="S31" s="89" t="e">
        <f>R31*$R$30</f>
        <v>#DIV/0!</v>
      </c>
    </row>
    <row r="32" spans="1:19" ht="12.75" customHeight="1" x14ac:dyDescent="0.25">
      <c r="A32" s="8" t="s">
        <v>34</v>
      </c>
      <c r="B32" s="11"/>
      <c r="C32" s="200"/>
      <c r="D32" s="201"/>
      <c r="E32" s="220" t="str">
        <f>IF(C34&gt;0,"Verdeling uren verlof duurz. inz.",IF(G31&gt;0,"Verdeling uren ouderschapsverlof",""))</f>
        <v/>
      </c>
      <c r="F32" s="171"/>
      <c r="G32" s="171"/>
      <c r="H32" s="171"/>
      <c r="I32" s="39"/>
      <c r="J32" s="173" t="s">
        <v>99</v>
      </c>
      <c r="K32" s="173"/>
      <c r="L32" s="173"/>
      <c r="M32" s="173"/>
      <c r="N32" s="173"/>
      <c r="P32" s="89">
        <f>ROUND(Q45*F16,0)</f>
        <v>0</v>
      </c>
      <c r="Q32" s="88">
        <f>P31+P32</f>
        <v>0</v>
      </c>
      <c r="R32" s="90" t="e">
        <f>P32/SUM($P$31:$P$35)</f>
        <v>#DIV/0!</v>
      </c>
      <c r="S32" s="89" t="e">
        <f>R32*$R$30</f>
        <v>#DIV/0!</v>
      </c>
    </row>
    <row r="33" spans="1:20" ht="13.2" x14ac:dyDescent="0.25">
      <c r="A33" s="8" t="str">
        <f>IF($C$32="","",IF($C$32&lt;$P$21,"Recht PDI",IF($C$32&lt;=$Q$21,"Recht PDI","")))</f>
        <v/>
      </c>
      <c r="B33" s="11"/>
      <c r="C33" s="172"/>
      <c r="D33" s="172"/>
      <c r="E33" s="31" t="str">
        <f>IF(OR(C34&gt;0,G31&gt;0),"Lesuren","")</f>
        <v/>
      </c>
      <c r="F33" s="31" t="str">
        <f>IF(OR(C34&gt;0,G31&gt;0),"v/n-werk","")</f>
        <v/>
      </c>
      <c r="G33" s="31" t="str">
        <f>IF(OR(C34&gt;0,G31&gt;0),"Taakuren","")</f>
        <v/>
      </c>
      <c r="H33" s="50"/>
      <c r="I33" s="39"/>
      <c r="J33" s="173"/>
      <c r="K33" s="173"/>
      <c r="L33" s="173"/>
      <c r="M33" s="173"/>
      <c r="N33" s="173"/>
      <c r="P33" s="88">
        <f>ROUND(D11*2*41.475,0)</f>
        <v>0</v>
      </c>
      <c r="Q33" s="89"/>
      <c r="R33" s="90" t="e">
        <f>P33/SUM($P$31:$P$35)</f>
        <v>#DIV/0!</v>
      </c>
      <c r="S33" s="89" t="e">
        <f>R33*$R$30</f>
        <v>#DIV/0!</v>
      </c>
    </row>
    <row r="34" spans="1:20" ht="13.2" x14ac:dyDescent="0.25">
      <c r="A34" s="8" t="str">
        <f>IF(C33="","",IF(C33="Overgangsregeling 52+","Waarvan uren verlof",IF(C33="Overgangsregeling 56+","Waarvan uren verlof",IF(C33="Basis en bijzonder budget","Waarvan uren verlof",""))))</f>
        <v/>
      </c>
      <c r="B34" s="11"/>
      <c r="C34" s="6"/>
      <c r="D34" s="50" t="str">
        <f>IF(C33="Overgangsregeling 56+",ROUND(170*D11,0)&amp;" - "&amp;ROUND(340*D11,0),IF(C33="Overgangsregeling 52+","0 - "&amp;ROUND(170*D11,0),IF(C33="Basis en bijzonder budget","0 - "&amp;ROUND(170*D11,0),"")))</f>
        <v/>
      </c>
      <c r="E34" s="31" t="str">
        <f>IFERROR(ROUND(IF(C34&gt;0,S45,IF(G31&gt;0,R30*R31,"")),0),"")</f>
        <v/>
      </c>
      <c r="F34" s="31" t="str">
        <f>IFERROR(ROUND(IF(C34&gt;0,S46,IF(G31&gt;0,R32*R30,"")),0),"")</f>
        <v/>
      </c>
      <c r="G34" s="31" t="str">
        <f>IFERROR(ROUND(IF(C34&gt;0,S47,IF(G31&gt;0,R35*R30,"")),0),"")</f>
        <v/>
      </c>
      <c r="H34" s="50"/>
      <c r="I34" s="39"/>
      <c r="J34" s="173"/>
      <c r="K34" s="173"/>
      <c r="L34" s="173"/>
      <c r="M34" s="173"/>
      <c r="N34" s="173"/>
      <c r="P34" s="88">
        <f>ROUND(IF(A34="",ROUND(D11*40,0),ROUND(VLOOKUP(C33,$P$39:$Q$43,2,FALSE)*D11,0))-C34,0)</f>
        <v>0</v>
      </c>
      <c r="Q34" s="89"/>
      <c r="R34" s="90" t="e">
        <f>P34/SUM($P$31:$P$35)</f>
        <v>#DIV/0!</v>
      </c>
      <c r="S34" s="89" t="e">
        <f>R34*$R$30</f>
        <v>#DIV/0!</v>
      </c>
    </row>
    <row r="35" spans="1:20" ht="13.8" thickBot="1" x14ac:dyDescent="0.3">
      <c r="A35" s="45"/>
      <c r="B35" s="45"/>
      <c r="C35" s="222" t="str">
        <f>IF(G31&gt;0,"Professionalisering","")</f>
        <v/>
      </c>
      <c r="D35" s="222"/>
      <c r="E35" s="92" t="str">
        <f>IFERROR(ROUND(IF(G31&gt;0,R33*R30,""),0),"")</f>
        <v/>
      </c>
      <c r="F35" s="91" t="str">
        <f>IF(G31&gt;0,"Duurz. inzetb.","")</f>
        <v/>
      </c>
      <c r="G35" s="92" t="str">
        <f>IFERROR(ROUND(IF(G31&gt;0,R34*R30,""),0),"")</f>
        <v/>
      </c>
      <c r="H35" s="45"/>
      <c r="I35" s="47"/>
      <c r="J35" s="174"/>
      <c r="K35" s="174"/>
      <c r="L35" s="174"/>
      <c r="M35" s="174"/>
      <c r="N35" s="174"/>
      <c r="O35" s="11"/>
      <c r="P35" s="89">
        <f>IFERROR(ROUND(Q47-SUM(C38:C83),0),0)</f>
        <v>0</v>
      </c>
      <c r="Q35" s="89"/>
      <c r="R35" s="90" t="e">
        <f>P35/SUM($P$31:$P$35)</f>
        <v>#DIV/0!</v>
      </c>
      <c r="S35" s="89" t="e">
        <f>R35*$R$30</f>
        <v>#DIV/0!</v>
      </c>
    </row>
    <row r="36" spans="1:20" ht="13.2" x14ac:dyDescent="0.25">
      <c r="A36" s="11"/>
      <c r="B36" s="11"/>
      <c r="C36" s="11"/>
      <c r="D36" s="8"/>
      <c r="E36" s="11"/>
      <c r="F36" s="11"/>
      <c r="G36" s="16"/>
      <c r="H36" s="16"/>
      <c r="J36" s="19"/>
      <c r="K36" s="19"/>
      <c r="L36" s="19"/>
      <c r="M36" s="19"/>
      <c r="N36" s="19"/>
      <c r="P36" t="str">
        <f>IF(C33="Overgangsregeling 56+",ROUND(340*LEFT(#REF!,2)/40,0),IF(C33="Overgangsregeling 52+",ROUND(170*LEFT(#REF!,2)/40,0),IF(C33="Basis en bijzonder budget",ROUND(170*LEFT(#REF!,2)/40,0),"")))</f>
        <v/>
      </c>
    </row>
    <row r="37" spans="1:20" ht="13.2" x14ac:dyDescent="0.25">
      <c r="A37" s="16" t="s">
        <v>54</v>
      </c>
      <c r="C37" s="11"/>
      <c r="D37" s="8"/>
      <c r="E37" s="56" t="s">
        <v>45</v>
      </c>
      <c r="F37" s="11"/>
      <c r="G37" s="16"/>
      <c r="H37" s="16"/>
      <c r="J37" s="19"/>
      <c r="K37" s="19"/>
      <c r="L37" s="19"/>
      <c r="M37" s="19"/>
      <c r="N37" s="19"/>
    </row>
    <row r="38" spans="1:20" ht="13.2" x14ac:dyDescent="0.25">
      <c r="A38" s="6" t="s">
        <v>114</v>
      </c>
      <c r="B38" s="8"/>
      <c r="C38" s="140">
        <f>G26</f>
        <v>0</v>
      </c>
      <c r="D38" s="8"/>
      <c r="E38" s="165" t="s">
        <v>98</v>
      </c>
      <c r="F38" s="165"/>
      <c r="G38" s="166">
        <f>IFERROR(ROUND(IF(A34="",ROUND(D11*123,0),ROUND(VLOOKUP(C33,$P$39:$Q$43,2,FALSE)*D11,0))-C34-S34,0),0)</f>
        <v>0</v>
      </c>
      <c r="H38" s="16"/>
      <c r="J38" s="19"/>
      <c r="K38" s="19"/>
      <c r="L38" s="19"/>
      <c r="M38" s="19"/>
      <c r="N38" s="19"/>
    </row>
    <row r="39" spans="1:20" ht="13.2" x14ac:dyDescent="0.25">
      <c r="A39" s="6" t="s">
        <v>115</v>
      </c>
      <c r="B39" s="8"/>
      <c r="C39" s="140">
        <f>ROUND(C16*C26-SUM(P33:P34),0)</f>
        <v>0</v>
      </c>
      <c r="D39" s="11"/>
      <c r="E39" s="165"/>
      <c r="F39" s="165"/>
      <c r="G39" s="166"/>
      <c r="H39" s="16"/>
      <c r="J39" s="147" t="s">
        <v>116</v>
      </c>
      <c r="K39" s="147"/>
      <c r="L39" s="147"/>
      <c r="M39" s="147"/>
      <c r="N39" s="147"/>
      <c r="P39" t="s">
        <v>46</v>
      </c>
      <c r="Q39">
        <f>'wtf OP, obv dagdelen onderbouw'!T52</f>
        <v>253</v>
      </c>
    </row>
    <row r="40" spans="1:20" ht="13.8" thickBot="1" x14ac:dyDescent="0.3">
      <c r="A40" s="6" t="s">
        <v>56</v>
      </c>
      <c r="B40" s="8"/>
      <c r="C40" s="13"/>
      <c r="D40" s="57"/>
      <c r="E40" s="8" t="str">
        <f>IF(C34&gt;0,"Verlof duurzame inzetbaarheid",IF(G31&gt;0,"Ouderschapsverlof",""))</f>
        <v/>
      </c>
      <c r="F40" s="16"/>
      <c r="G40" s="59">
        <f>ROUND(IF(E40="",0,IF(C34&gt;0,C34,R30)),0)</f>
        <v>0</v>
      </c>
      <c r="H40" s="59"/>
      <c r="J40" s="147"/>
      <c r="K40" s="147"/>
      <c r="L40" s="147"/>
      <c r="M40" s="147"/>
      <c r="N40" s="147"/>
      <c r="P40" t="s">
        <v>48</v>
      </c>
      <c r="Q40">
        <f>'wtf OP, obv dagdelen onderbouw'!T53</f>
        <v>463</v>
      </c>
    </row>
    <row r="41" spans="1:20" ht="13.8" thickBot="1" x14ac:dyDescent="0.3">
      <c r="A41" s="22" t="s">
        <v>57</v>
      </c>
      <c r="B41" s="8"/>
      <c r="C41" s="13"/>
      <c r="D41" s="57"/>
      <c r="E41" s="11" t="s">
        <v>21</v>
      </c>
      <c r="F41" s="16"/>
      <c r="G41" s="65">
        <f>SUM(G38:G40)</f>
        <v>0</v>
      </c>
      <c r="H41" s="59"/>
      <c r="J41" s="147"/>
      <c r="K41" s="147"/>
      <c r="L41" s="147"/>
      <c r="M41" s="147"/>
      <c r="N41" s="147"/>
      <c r="P41" t="s">
        <v>50</v>
      </c>
      <c r="Q41">
        <f>'wtf OP, obv dagdelen onderbouw'!T54</f>
        <v>253</v>
      </c>
    </row>
    <row r="42" spans="1:20" ht="13.2" x14ac:dyDescent="0.25">
      <c r="A42" s="22" t="s">
        <v>58</v>
      </c>
      <c r="B42" s="8"/>
      <c r="C42" s="13"/>
      <c r="D42" s="57"/>
      <c r="E42" s="16"/>
      <c r="F42" s="16"/>
      <c r="G42" s="16"/>
      <c r="H42" s="59"/>
      <c r="J42" s="147"/>
      <c r="K42" s="147"/>
      <c r="L42" s="147"/>
      <c r="M42" s="147"/>
      <c r="N42" s="147"/>
    </row>
    <row r="43" spans="1:20" ht="13.2" x14ac:dyDescent="0.25">
      <c r="A43" s="6" t="s">
        <v>60</v>
      </c>
      <c r="B43" s="8"/>
      <c r="C43" s="13"/>
      <c r="D43" s="14"/>
      <c r="E43" s="160" t="str">
        <f>IF(C84&lt;0,"LET OP:","")</f>
        <v/>
      </c>
      <c r="F43" s="160"/>
      <c r="G43" s="8"/>
      <c r="H43" s="66"/>
      <c r="J43" s="147"/>
      <c r="K43" s="147"/>
      <c r="L43" s="147"/>
      <c r="M43" s="147"/>
      <c r="N43" s="147"/>
      <c r="P43" t="s">
        <v>53</v>
      </c>
      <c r="Q43">
        <f>'wtf OP, obv dagdelen onderbouw'!T56</f>
        <v>123</v>
      </c>
    </row>
    <row r="44" spans="1:20" ht="13.2" x14ac:dyDescent="0.25">
      <c r="A44" s="6" t="s">
        <v>60</v>
      </c>
      <c r="B44" s="8"/>
      <c r="C44" s="13"/>
      <c r="D44" s="11"/>
      <c r="E44" s="160"/>
      <c r="F44" s="160"/>
      <c r="G44" s="8"/>
      <c r="H44" s="16"/>
      <c r="J44" s="147"/>
      <c r="K44" s="147"/>
      <c r="L44" s="147"/>
      <c r="M44" s="147"/>
      <c r="N44" s="147"/>
    </row>
    <row r="45" spans="1:20" ht="13.2" x14ac:dyDescent="0.25">
      <c r="A45" s="6" t="s">
        <v>60</v>
      </c>
      <c r="B45" s="8"/>
      <c r="C45" s="13"/>
      <c r="D45" s="198" t="str">
        <f>IF(C84&lt;0,"Het is niet mogelijk de ingevulde werkzaamheden binnen de aangegeven werktijdfactor te voldoen","")</f>
        <v/>
      </c>
      <c r="E45" s="162"/>
      <c r="F45" s="162"/>
      <c r="G45" s="162"/>
      <c r="H45" s="162"/>
      <c r="J45" s="19"/>
      <c r="K45" s="19"/>
      <c r="L45" s="19"/>
      <c r="M45" s="19"/>
      <c r="N45" s="19"/>
      <c r="P45" s="8" t="s">
        <v>47</v>
      </c>
      <c r="Q45" s="67">
        <v>0</v>
      </c>
      <c r="S45" s="67">
        <v>0</v>
      </c>
      <c r="T45" t="e">
        <f>Q45/SUM($S$45:$S$47)</f>
        <v>#DIV/0!</v>
      </c>
    </row>
    <row r="46" spans="1:20" ht="13.2" x14ac:dyDescent="0.25">
      <c r="A46" s="6" t="s">
        <v>60</v>
      </c>
      <c r="B46" s="8"/>
      <c r="C46" s="13"/>
      <c r="D46" s="198"/>
      <c r="E46" s="162"/>
      <c r="F46" s="162"/>
      <c r="G46" s="162"/>
      <c r="H46" s="162"/>
      <c r="J46" s="19"/>
      <c r="K46" s="19"/>
      <c r="L46" s="19"/>
      <c r="M46" s="19"/>
      <c r="N46" s="19"/>
      <c r="P46" s="8" t="s">
        <v>49</v>
      </c>
      <c r="Q46">
        <v>0</v>
      </c>
      <c r="R46" s="67">
        <f>Q45+Q46</f>
        <v>0</v>
      </c>
      <c r="S46" s="67">
        <v>0</v>
      </c>
      <c r="T46" t="e">
        <f t="shared" ref="T46:T47" si="0">Q46/SUM($S$45:$S$47)</f>
        <v>#DIV/0!</v>
      </c>
    </row>
    <row r="47" spans="1:20" ht="12.75" customHeight="1" x14ac:dyDescent="0.25">
      <c r="A47" s="6" t="s">
        <v>60</v>
      </c>
      <c r="B47" s="8"/>
      <c r="C47" s="13"/>
      <c r="D47" s="14"/>
      <c r="E47" s="163" t="s">
        <v>101</v>
      </c>
      <c r="F47" s="163"/>
      <c r="G47" s="163"/>
      <c r="H47" s="163"/>
      <c r="J47" s="19"/>
      <c r="K47" s="19"/>
      <c r="L47" s="19"/>
      <c r="M47" s="19"/>
      <c r="N47" s="19"/>
      <c r="P47" t="s">
        <v>117</v>
      </c>
      <c r="Q47">
        <f>ROUND(1659*D11-R46-ROUND(IF(A33="",ROUND(D11*40,0),ROUND(VLOOKUP(C33,$P$39:$Q$43,2,FALSE)*D11,0))-C34,0)-ROUND(D11*2*41.475,0),0)</f>
        <v>0</v>
      </c>
      <c r="S47" s="67">
        <f>+Q47-C85</f>
        <v>0</v>
      </c>
      <c r="T47" t="e">
        <f t="shared" si="0"/>
        <v>#DIV/0!</v>
      </c>
    </row>
    <row r="48" spans="1:20" ht="13.2" x14ac:dyDescent="0.25">
      <c r="A48" s="6" t="s">
        <v>60</v>
      </c>
      <c r="B48" s="8"/>
      <c r="C48" s="13"/>
      <c r="D48" s="14"/>
      <c r="E48" s="14"/>
      <c r="F48" s="141" t="s">
        <v>118</v>
      </c>
      <c r="G48" s="142"/>
      <c r="H48" s="143" t="s">
        <v>119</v>
      </c>
      <c r="J48" s="19"/>
      <c r="K48" s="19"/>
      <c r="L48" s="19"/>
      <c r="M48" s="19"/>
      <c r="N48" s="19"/>
    </row>
    <row r="49" spans="1:18" ht="13.2" x14ac:dyDescent="0.25">
      <c r="A49" s="6" t="s">
        <v>60</v>
      </c>
      <c r="B49" s="8"/>
      <c r="C49" s="13"/>
      <c r="D49" s="121"/>
      <c r="E49" s="111" t="s">
        <v>130</v>
      </c>
      <c r="F49" s="208">
        <f>G40</f>
        <v>0</v>
      </c>
      <c r="G49" s="208"/>
      <c r="H49" s="208"/>
      <c r="J49" s="19"/>
      <c r="K49" s="19"/>
      <c r="L49" s="19"/>
      <c r="M49" s="19"/>
      <c r="N49" s="19"/>
      <c r="Q49">
        <f>1659*D11</f>
        <v>0</v>
      </c>
      <c r="R49" s="67"/>
    </row>
    <row r="50" spans="1:18" ht="13.2" x14ac:dyDescent="0.25">
      <c r="A50" s="6" t="s">
        <v>60</v>
      </c>
      <c r="B50" s="8"/>
      <c r="C50" s="13"/>
      <c r="D50" s="14"/>
      <c r="E50" s="111" t="s">
        <v>58</v>
      </c>
      <c r="F50" s="175"/>
      <c r="G50" s="175"/>
      <c r="H50" s="175"/>
      <c r="J50" s="19"/>
      <c r="K50" s="19"/>
      <c r="L50" s="19"/>
      <c r="M50" s="19"/>
      <c r="N50" s="19"/>
    </row>
    <row r="51" spans="1:18" ht="13.2" x14ac:dyDescent="0.25">
      <c r="A51" s="6" t="s">
        <v>60</v>
      </c>
      <c r="B51" s="8"/>
      <c r="C51" s="13"/>
      <c r="E51" s="111" t="s">
        <v>62</v>
      </c>
      <c r="F51" s="175"/>
      <c r="G51" s="175"/>
      <c r="H51" s="175"/>
      <c r="J51" s="19"/>
      <c r="K51" s="19"/>
      <c r="L51" s="19"/>
      <c r="M51" s="19"/>
      <c r="N51" s="19"/>
    </row>
    <row r="52" spans="1:18" ht="13.2" x14ac:dyDescent="0.25">
      <c r="A52" s="6" t="s">
        <v>60</v>
      </c>
      <c r="B52" s="8"/>
      <c r="C52" s="13"/>
      <c r="D52" s="8"/>
      <c r="E52" s="111" t="s">
        <v>61</v>
      </c>
      <c r="F52" s="175"/>
      <c r="G52" s="175"/>
      <c r="H52" s="175"/>
      <c r="J52" s="19"/>
      <c r="K52" s="19"/>
      <c r="L52" s="19"/>
      <c r="M52" s="19"/>
      <c r="N52" s="19"/>
    </row>
    <row r="53" spans="1:18" ht="13.2" x14ac:dyDescent="0.25">
      <c r="A53" s="6" t="s">
        <v>60</v>
      </c>
      <c r="B53" s="8"/>
      <c r="C53" s="13"/>
      <c r="D53" s="8"/>
      <c r="E53" s="112" t="s">
        <v>63</v>
      </c>
      <c r="F53" s="175"/>
      <c r="G53" s="175"/>
      <c r="H53" s="175"/>
      <c r="J53" s="19"/>
      <c r="K53" s="19"/>
      <c r="L53" s="19"/>
      <c r="M53" s="19"/>
      <c r="N53" s="19"/>
    </row>
    <row r="54" spans="1:18" ht="13.2" x14ac:dyDescent="0.25">
      <c r="A54" s="6" t="s">
        <v>60</v>
      </c>
      <c r="B54" s="8"/>
      <c r="C54" s="13"/>
      <c r="D54" s="8"/>
      <c r="E54" s="112" t="s">
        <v>64</v>
      </c>
      <c r="F54" s="175"/>
      <c r="G54" s="175"/>
      <c r="H54" s="175"/>
      <c r="J54" s="19"/>
      <c r="K54" s="19"/>
      <c r="L54" s="19"/>
      <c r="M54" s="19"/>
      <c r="N54" s="19"/>
    </row>
    <row r="55" spans="1:18" ht="13.2" x14ac:dyDescent="0.25">
      <c r="A55" s="6" t="s">
        <v>60</v>
      </c>
      <c r="B55" s="8"/>
      <c r="C55" s="13"/>
      <c r="D55" s="8"/>
      <c r="E55" s="112" t="s">
        <v>60</v>
      </c>
      <c r="F55" s="175"/>
      <c r="G55" s="175"/>
      <c r="H55" s="175"/>
      <c r="J55" s="19"/>
      <c r="K55" s="19"/>
      <c r="L55" s="19"/>
      <c r="M55" s="19"/>
      <c r="N55" s="19"/>
    </row>
    <row r="56" spans="1:18" ht="13.2" x14ac:dyDescent="0.25">
      <c r="A56" s="6" t="s">
        <v>60</v>
      </c>
      <c r="B56" s="8"/>
      <c r="C56" s="13"/>
      <c r="D56" s="8"/>
      <c r="E56" s="112" t="s">
        <v>60</v>
      </c>
      <c r="F56" s="175"/>
      <c r="G56" s="175"/>
      <c r="H56" s="175"/>
      <c r="J56" s="19"/>
      <c r="K56" s="19"/>
      <c r="L56" s="19"/>
      <c r="M56" s="19"/>
      <c r="N56" s="19"/>
    </row>
    <row r="57" spans="1:18" ht="13.2" x14ac:dyDescent="0.25">
      <c r="A57" s="6" t="s">
        <v>60</v>
      </c>
      <c r="B57" s="8"/>
      <c r="C57" s="13"/>
      <c r="D57" s="8"/>
      <c r="E57" s="112" t="s">
        <v>60</v>
      </c>
      <c r="F57" s="175"/>
      <c r="G57" s="175"/>
      <c r="H57" s="175"/>
      <c r="J57" s="19"/>
      <c r="K57" s="19"/>
      <c r="L57" s="19"/>
      <c r="M57" s="19"/>
      <c r="N57" s="19"/>
    </row>
    <row r="58" spans="1:18" ht="13.2" x14ac:dyDescent="0.25">
      <c r="A58" s="6" t="s">
        <v>60</v>
      </c>
      <c r="B58" s="8"/>
      <c r="C58" s="13"/>
      <c r="D58" s="8"/>
      <c r="E58" s="112" t="s">
        <v>60</v>
      </c>
      <c r="F58" s="175"/>
      <c r="G58" s="175"/>
      <c r="H58" s="175"/>
      <c r="J58" s="19"/>
      <c r="K58" s="19"/>
      <c r="L58" s="19"/>
      <c r="M58" s="19"/>
      <c r="N58" s="19"/>
    </row>
    <row r="59" spans="1:18" ht="13.2" x14ac:dyDescent="0.25">
      <c r="A59" s="6" t="s">
        <v>60</v>
      </c>
      <c r="B59" s="8"/>
      <c r="C59" s="13"/>
      <c r="D59" s="8"/>
      <c r="E59" s="112" t="s">
        <v>60</v>
      </c>
      <c r="F59" s="175"/>
      <c r="G59" s="175"/>
      <c r="H59" s="175"/>
      <c r="J59" s="19"/>
      <c r="K59" s="19"/>
      <c r="L59" s="19"/>
      <c r="M59" s="19"/>
      <c r="N59" s="19"/>
    </row>
    <row r="60" spans="1:18" ht="13.2" x14ac:dyDescent="0.25">
      <c r="A60" s="6" t="s">
        <v>60</v>
      </c>
      <c r="B60" s="8"/>
      <c r="C60" s="13"/>
      <c r="D60" s="8"/>
      <c r="E60" s="112" t="s">
        <v>60</v>
      </c>
      <c r="F60" s="175"/>
      <c r="G60" s="175"/>
      <c r="H60" s="175"/>
      <c r="J60" s="19"/>
      <c r="K60" s="19"/>
      <c r="L60" s="19"/>
      <c r="M60" s="19"/>
      <c r="N60" s="19"/>
    </row>
    <row r="61" spans="1:18" ht="13.2" x14ac:dyDescent="0.25">
      <c r="A61" s="6" t="s">
        <v>60</v>
      </c>
      <c r="B61" s="8"/>
      <c r="C61" s="13"/>
      <c r="D61" s="8"/>
      <c r="E61" s="112" t="s">
        <v>60</v>
      </c>
      <c r="F61" s="175"/>
      <c r="G61" s="175"/>
      <c r="H61" s="175"/>
      <c r="J61" s="19"/>
      <c r="K61" s="19"/>
      <c r="L61" s="19"/>
      <c r="M61" s="19"/>
      <c r="N61" s="19"/>
    </row>
    <row r="62" spans="1:18" ht="13.2" x14ac:dyDescent="0.25">
      <c r="A62" s="6" t="s">
        <v>60</v>
      </c>
      <c r="B62" s="8"/>
      <c r="C62" s="13"/>
      <c r="D62" s="8"/>
      <c r="E62" s="112" t="s">
        <v>60</v>
      </c>
      <c r="F62" s="175"/>
      <c r="G62" s="175"/>
      <c r="H62" s="175"/>
      <c r="J62" s="19"/>
      <c r="K62" s="19"/>
      <c r="L62" s="19"/>
      <c r="M62" s="19"/>
      <c r="N62" s="19"/>
    </row>
    <row r="63" spans="1:18" ht="13.2" x14ac:dyDescent="0.25">
      <c r="A63" s="6" t="s">
        <v>60</v>
      </c>
      <c r="B63" s="8"/>
      <c r="C63" s="13"/>
      <c r="D63" s="8"/>
      <c r="E63" s="112" t="s">
        <v>60</v>
      </c>
      <c r="F63" s="175"/>
      <c r="G63" s="175"/>
      <c r="H63" s="175"/>
      <c r="J63" s="19"/>
      <c r="K63" s="19"/>
      <c r="L63" s="19"/>
      <c r="M63" s="19"/>
      <c r="N63" s="19"/>
    </row>
    <row r="64" spans="1:18" ht="13.2" x14ac:dyDescent="0.25">
      <c r="A64" s="6" t="s">
        <v>60</v>
      </c>
      <c r="B64" s="8"/>
      <c r="C64" s="13"/>
      <c r="D64" s="8"/>
      <c r="E64" s="112" t="s">
        <v>60</v>
      </c>
      <c r="F64" s="175"/>
      <c r="G64" s="175"/>
      <c r="H64" s="175"/>
      <c r="J64" s="19"/>
      <c r="K64" s="19"/>
      <c r="L64" s="19"/>
      <c r="M64" s="19"/>
      <c r="N64" s="19"/>
    </row>
    <row r="65" spans="1:14" ht="13.2" x14ac:dyDescent="0.25">
      <c r="A65" s="6" t="s">
        <v>60</v>
      </c>
      <c r="B65" s="8"/>
      <c r="C65" s="13"/>
      <c r="D65" s="8"/>
      <c r="E65" s="112" t="s">
        <v>60</v>
      </c>
      <c r="F65" s="175"/>
      <c r="G65" s="175"/>
      <c r="H65" s="175"/>
      <c r="J65" s="19"/>
      <c r="K65" s="19"/>
      <c r="L65" s="19"/>
      <c r="M65" s="19"/>
      <c r="N65" s="19"/>
    </row>
    <row r="66" spans="1:14" ht="13.2" x14ac:dyDescent="0.25">
      <c r="A66" s="6" t="s">
        <v>60</v>
      </c>
      <c r="B66" s="8"/>
      <c r="C66" s="13"/>
      <c r="D66" s="8"/>
      <c r="E66" s="112" t="s">
        <v>60</v>
      </c>
      <c r="F66" s="175"/>
      <c r="G66" s="175"/>
      <c r="H66" s="175"/>
      <c r="J66" s="19"/>
      <c r="K66" s="19"/>
      <c r="L66" s="19"/>
      <c r="M66" s="19"/>
      <c r="N66" s="19"/>
    </row>
    <row r="67" spans="1:14" ht="13.2" x14ac:dyDescent="0.25">
      <c r="A67" s="6" t="s">
        <v>60</v>
      </c>
      <c r="B67" s="8"/>
      <c r="C67" s="13"/>
      <c r="D67" s="8"/>
      <c r="E67" s="112" t="s">
        <v>60</v>
      </c>
      <c r="F67" s="175"/>
      <c r="G67" s="175"/>
      <c r="H67" s="175"/>
      <c r="J67" s="19"/>
      <c r="K67" s="19"/>
      <c r="L67" s="19"/>
      <c r="M67" s="19"/>
      <c r="N67" s="19"/>
    </row>
    <row r="68" spans="1:14" ht="13.2" x14ac:dyDescent="0.25">
      <c r="A68" s="6" t="s">
        <v>60</v>
      </c>
      <c r="B68" s="8"/>
      <c r="C68" s="13"/>
      <c r="D68" s="8"/>
      <c r="E68" s="112" t="s">
        <v>60</v>
      </c>
      <c r="F68" s="175"/>
      <c r="G68" s="175"/>
      <c r="H68" s="175"/>
      <c r="J68" s="19"/>
      <c r="K68" s="19"/>
      <c r="L68" s="19"/>
      <c r="M68" s="19"/>
      <c r="N68" s="19"/>
    </row>
    <row r="69" spans="1:14" ht="13.2" x14ac:dyDescent="0.25">
      <c r="A69" s="6" t="s">
        <v>60</v>
      </c>
      <c r="B69" s="8"/>
      <c r="C69" s="13"/>
      <c r="D69" s="8"/>
      <c r="E69" s="112" t="s">
        <v>60</v>
      </c>
      <c r="F69" s="175"/>
      <c r="G69" s="175"/>
      <c r="H69" s="175"/>
      <c r="J69" s="19"/>
      <c r="K69" s="19"/>
      <c r="L69" s="19"/>
      <c r="M69" s="19"/>
      <c r="N69" s="19"/>
    </row>
    <row r="70" spans="1:14" ht="13.2" x14ac:dyDescent="0.25">
      <c r="A70" s="6" t="s">
        <v>60</v>
      </c>
      <c r="B70" s="8"/>
      <c r="C70" s="13"/>
      <c r="D70" s="8"/>
      <c r="E70" s="112" t="s">
        <v>60</v>
      </c>
      <c r="F70" s="175"/>
      <c r="G70" s="175"/>
      <c r="H70" s="175"/>
      <c r="J70" s="19"/>
      <c r="K70" s="19"/>
      <c r="L70" s="19"/>
      <c r="M70" s="19"/>
      <c r="N70" s="19"/>
    </row>
    <row r="71" spans="1:14" ht="13.2" x14ac:dyDescent="0.25">
      <c r="A71" s="6" t="s">
        <v>60</v>
      </c>
      <c r="B71" s="8"/>
      <c r="C71" s="13"/>
      <c r="D71" s="8"/>
      <c r="E71" s="112" t="s">
        <v>60</v>
      </c>
      <c r="F71" s="175"/>
      <c r="G71" s="175"/>
      <c r="H71" s="175"/>
      <c r="J71" s="19"/>
      <c r="K71" s="19"/>
      <c r="L71" s="19"/>
      <c r="M71" s="19"/>
      <c r="N71" s="19"/>
    </row>
    <row r="72" spans="1:14" ht="13.2" x14ac:dyDescent="0.25">
      <c r="A72" s="6" t="s">
        <v>60</v>
      </c>
      <c r="B72" s="8"/>
      <c r="C72" s="13"/>
      <c r="D72" s="8"/>
      <c r="E72" s="112" t="s">
        <v>60</v>
      </c>
      <c r="F72" s="175"/>
      <c r="G72" s="175"/>
      <c r="H72" s="175"/>
      <c r="J72" s="19"/>
      <c r="K72" s="19"/>
      <c r="L72" s="19"/>
      <c r="M72" s="19"/>
      <c r="N72" s="19"/>
    </row>
    <row r="73" spans="1:14" ht="13.2" x14ac:dyDescent="0.25">
      <c r="A73" s="6" t="s">
        <v>60</v>
      </c>
      <c r="B73" s="8"/>
      <c r="C73" s="13"/>
      <c r="D73" s="8"/>
      <c r="E73" s="112" t="s">
        <v>60</v>
      </c>
      <c r="F73" s="175"/>
      <c r="G73" s="175"/>
      <c r="H73" s="175"/>
      <c r="J73" s="19"/>
      <c r="K73" s="19"/>
      <c r="L73" s="19"/>
      <c r="M73" s="19"/>
      <c r="N73" s="19"/>
    </row>
    <row r="74" spans="1:14" ht="13.2" x14ac:dyDescent="0.25">
      <c r="A74" s="6" t="s">
        <v>60</v>
      </c>
      <c r="B74" s="8"/>
      <c r="C74" s="13"/>
      <c r="D74" s="8"/>
      <c r="E74" s="112" t="s">
        <v>60</v>
      </c>
      <c r="F74" s="175"/>
      <c r="G74" s="175"/>
      <c r="H74" s="175"/>
      <c r="J74" s="19"/>
      <c r="K74" s="19"/>
      <c r="L74" s="19"/>
      <c r="M74" s="19"/>
      <c r="N74" s="19"/>
    </row>
    <row r="75" spans="1:14" ht="13.2" x14ac:dyDescent="0.25">
      <c r="A75" s="6" t="s">
        <v>60</v>
      </c>
      <c r="B75" s="8"/>
      <c r="C75" s="13"/>
      <c r="D75" s="8"/>
      <c r="E75" s="112" t="s">
        <v>60</v>
      </c>
      <c r="F75" s="175"/>
      <c r="G75" s="175"/>
      <c r="H75" s="175"/>
      <c r="J75" s="19"/>
      <c r="K75" s="19"/>
      <c r="L75" s="19"/>
      <c r="M75" s="19"/>
      <c r="N75" s="19"/>
    </row>
    <row r="76" spans="1:14" ht="13.2" x14ac:dyDescent="0.25">
      <c r="A76" s="6" t="s">
        <v>60</v>
      </c>
      <c r="B76" s="8"/>
      <c r="C76" s="13"/>
      <c r="D76" s="8"/>
      <c r="E76" s="112" t="s">
        <v>60</v>
      </c>
      <c r="F76" s="175"/>
      <c r="G76" s="175"/>
      <c r="H76" s="175"/>
      <c r="J76" s="19"/>
      <c r="K76" s="19"/>
      <c r="L76" s="19"/>
      <c r="M76" s="19"/>
      <c r="N76" s="19"/>
    </row>
    <row r="77" spans="1:14" ht="13.2" x14ac:dyDescent="0.25">
      <c r="A77" s="6" t="s">
        <v>60</v>
      </c>
      <c r="B77" s="8"/>
      <c r="C77" s="13"/>
      <c r="D77" s="8"/>
      <c r="E77" s="112" t="s">
        <v>60</v>
      </c>
      <c r="F77" s="175"/>
      <c r="G77" s="175"/>
      <c r="H77" s="175"/>
      <c r="J77" s="19"/>
      <c r="K77" s="19"/>
      <c r="L77" s="19"/>
      <c r="M77" s="19"/>
      <c r="N77" s="19"/>
    </row>
    <row r="78" spans="1:14" ht="13.2" x14ac:dyDescent="0.25">
      <c r="A78" s="6" t="s">
        <v>60</v>
      </c>
      <c r="B78" s="8"/>
      <c r="C78" s="13"/>
      <c r="D78" s="8"/>
      <c r="E78" s="112" t="s">
        <v>60</v>
      </c>
      <c r="F78" s="175"/>
      <c r="G78" s="175"/>
      <c r="H78" s="175"/>
      <c r="J78" s="19"/>
      <c r="K78" s="19"/>
      <c r="L78" s="19"/>
      <c r="M78" s="19"/>
      <c r="N78" s="19"/>
    </row>
    <row r="79" spans="1:14" ht="13.2" x14ac:dyDescent="0.25">
      <c r="A79" s="6" t="s">
        <v>60</v>
      </c>
      <c r="B79" s="8"/>
      <c r="C79" s="13"/>
      <c r="D79" s="8"/>
      <c r="E79" s="112" t="s">
        <v>60</v>
      </c>
      <c r="F79" s="175"/>
      <c r="G79" s="175"/>
      <c r="H79" s="175"/>
      <c r="J79" s="19"/>
      <c r="K79" s="19"/>
      <c r="L79" s="19"/>
      <c r="M79" s="19"/>
      <c r="N79" s="19"/>
    </row>
    <row r="80" spans="1:14" ht="13.2" x14ac:dyDescent="0.25">
      <c r="A80" s="6" t="s">
        <v>60</v>
      </c>
      <c r="B80" s="8"/>
      <c r="C80" s="13"/>
      <c r="D80" s="8"/>
      <c r="E80" s="112" t="s">
        <v>60</v>
      </c>
      <c r="F80" s="175"/>
      <c r="G80" s="175"/>
      <c r="H80" s="175"/>
      <c r="J80" s="19"/>
      <c r="K80" s="19"/>
      <c r="L80" s="19"/>
      <c r="M80" s="19"/>
      <c r="N80" s="19"/>
    </row>
    <row r="81" spans="1:14" ht="13.2" x14ac:dyDescent="0.25">
      <c r="A81" s="6" t="s">
        <v>60</v>
      </c>
      <c r="B81" s="8"/>
      <c r="C81" s="13"/>
      <c r="D81" s="8"/>
      <c r="E81" s="112" t="s">
        <v>60</v>
      </c>
      <c r="F81" s="175"/>
      <c r="G81" s="175"/>
      <c r="H81" s="175"/>
      <c r="J81" s="19"/>
      <c r="K81" s="19"/>
      <c r="L81" s="19"/>
      <c r="M81" s="19"/>
      <c r="N81" s="19"/>
    </row>
    <row r="82" spans="1:14" ht="13.8" thickBot="1" x14ac:dyDescent="0.3">
      <c r="A82" s="6" t="s">
        <v>60</v>
      </c>
      <c r="B82" s="8"/>
      <c r="C82" s="13"/>
      <c r="D82" s="8"/>
      <c r="E82" s="113" t="s">
        <v>67</v>
      </c>
      <c r="F82" s="180">
        <f>G41-SUM(F49:H81)</f>
        <v>0</v>
      </c>
      <c r="G82" s="180"/>
      <c r="H82" s="180"/>
      <c r="J82" s="19"/>
      <c r="K82" s="19"/>
      <c r="L82" s="19"/>
      <c r="M82" s="19"/>
      <c r="N82" s="19"/>
    </row>
    <row r="83" spans="1:14" ht="13.8" thickBot="1" x14ac:dyDescent="0.3">
      <c r="A83" s="6" t="s">
        <v>60</v>
      </c>
      <c r="B83" s="8"/>
      <c r="C83" s="13"/>
      <c r="D83" s="8"/>
      <c r="E83" s="121" t="s">
        <v>21</v>
      </c>
      <c r="F83" s="177">
        <f>SUM(F49:H82)</f>
        <v>0</v>
      </c>
      <c r="G83" s="178"/>
      <c r="H83" s="179"/>
      <c r="J83" s="19"/>
      <c r="K83" s="19"/>
      <c r="L83" s="19"/>
      <c r="M83" s="19"/>
      <c r="N83" s="19"/>
    </row>
    <row r="84" spans="1:14" ht="13.8" thickBot="1" x14ac:dyDescent="0.3">
      <c r="A84" s="7" t="s">
        <v>66</v>
      </c>
      <c r="B84" s="8"/>
      <c r="C84" s="9">
        <f>IFERROR(IF(G31&gt;0,ROUND(Q47-SUM(C38:C83)-S35,0),ROUND(Q47-G40/SUM(Q45:Q47)*Q47-SUM(C38:C83),0)),0)</f>
        <v>0</v>
      </c>
      <c r="D84" s="8"/>
      <c r="E84" s="16"/>
      <c r="F84" s="16"/>
      <c r="G84" s="8"/>
      <c r="H84" s="8"/>
      <c r="J84" s="19"/>
      <c r="K84" s="19"/>
      <c r="L84" s="19"/>
      <c r="M84" s="19"/>
      <c r="N84" s="19"/>
    </row>
    <row r="85" spans="1:14" ht="13.8" thickBot="1" x14ac:dyDescent="0.3">
      <c r="A85" s="11" t="s">
        <v>68</v>
      </c>
      <c r="B85" s="8"/>
      <c r="C85" s="12">
        <f>SUM(C38:C84)</f>
        <v>0</v>
      </c>
      <c r="D85" s="8"/>
      <c r="E85" s="16"/>
      <c r="F85" s="16"/>
      <c r="G85" s="8"/>
      <c r="H85" s="8"/>
      <c r="J85" s="19"/>
      <c r="K85" s="19"/>
      <c r="L85" s="19"/>
      <c r="M85" s="19"/>
      <c r="N85" s="19"/>
    </row>
    <row r="86" spans="1:14" ht="13.2" x14ac:dyDescent="0.25">
      <c r="A86" s="8"/>
      <c r="B86" s="8"/>
      <c r="C86" s="8"/>
      <c r="D86" s="8"/>
      <c r="E86" s="16"/>
      <c r="F86" s="16"/>
      <c r="G86" s="8"/>
      <c r="H86" s="8"/>
      <c r="J86" s="19"/>
      <c r="K86" s="19"/>
      <c r="L86" s="19"/>
      <c r="M86" s="19"/>
      <c r="N86" s="19"/>
    </row>
  </sheetData>
  <sheetProtection algorithmName="SHA-512" hashValue="v+PvBvMfV5UzBtdw+PttZDcDU6EugbaI2tx6vO73IZoP++GJL9pR7URWcvSZIKTTb+ynrQtjZ57oZHxKbYkYRQ==" saltValue="mePQjFN6hpfpCFQoQM1pZw==" spinCount="100000" sheet="1" objects="1" scenarios="1" formatColumns="0" formatRows="0" insertColumns="0" insertRows="0" selectLockedCells="1"/>
  <mergeCells count="67">
    <mergeCell ref="F79:H79"/>
    <mergeCell ref="F80:H80"/>
    <mergeCell ref="F81:H81"/>
    <mergeCell ref="F82:H82"/>
    <mergeCell ref="F83:H83"/>
    <mergeCell ref="J32:N35"/>
    <mergeCell ref="F73:H73"/>
    <mergeCell ref="F74:H74"/>
    <mergeCell ref="F75:H75"/>
    <mergeCell ref="F76:H76"/>
    <mergeCell ref="F61:H61"/>
    <mergeCell ref="F62:H62"/>
    <mergeCell ref="F63:H63"/>
    <mergeCell ref="F64:H64"/>
    <mergeCell ref="F65:H65"/>
    <mergeCell ref="F66:H66"/>
    <mergeCell ref="F55:H55"/>
    <mergeCell ref="F56:H56"/>
    <mergeCell ref="F57:H57"/>
    <mergeCell ref="F58:H58"/>
    <mergeCell ref="F59:H59"/>
    <mergeCell ref="F77:H77"/>
    <mergeCell ref="F78:H78"/>
    <mergeCell ref="F67:H67"/>
    <mergeCell ref="F68:H68"/>
    <mergeCell ref="F69:H69"/>
    <mergeCell ref="F70:H70"/>
    <mergeCell ref="F71:H71"/>
    <mergeCell ref="F72:H72"/>
    <mergeCell ref="J39:N44"/>
    <mergeCell ref="E43:F44"/>
    <mergeCell ref="D45:H46"/>
    <mergeCell ref="F60:H60"/>
    <mergeCell ref="F49:H49"/>
    <mergeCell ref="F50:H50"/>
    <mergeCell ref="F51:H51"/>
    <mergeCell ref="F52:H52"/>
    <mergeCell ref="F53:H53"/>
    <mergeCell ref="F54:H54"/>
    <mergeCell ref="E47:H47"/>
    <mergeCell ref="C31:D31"/>
    <mergeCell ref="C32:D32"/>
    <mergeCell ref="E32:H32"/>
    <mergeCell ref="C33:D33"/>
    <mergeCell ref="C35:D35"/>
    <mergeCell ref="E38:F39"/>
    <mergeCell ref="G38:G39"/>
    <mergeCell ref="J29:N30"/>
    <mergeCell ref="C30:D30"/>
    <mergeCell ref="B8:H8"/>
    <mergeCell ref="A11:C12"/>
    <mergeCell ref="D11:D12"/>
    <mergeCell ref="E11:F12"/>
    <mergeCell ref="J11:N13"/>
    <mergeCell ref="B13:D14"/>
    <mergeCell ref="E13:F14"/>
    <mergeCell ref="J15:N16"/>
    <mergeCell ref="J18:N18"/>
    <mergeCell ref="B19:C19"/>
    <mergeCell ref="J21:N24"/>
    <mergeCell ref="J25:N27"/>
    <mergeCell ref="B7:D7"/>
    <mergeCell ref="D2:E2"/>
    <mergeCell ref="B5:D5"/>
    <mergeCell ref="F5:G5"/>
    <mergeCell ref="B6:D6"/>
    <mergeCell ref="F6:G6"/>
  </mergeCells>
  <conditionalFormatting sqref="C34">
    <cfRule type="cellIs" dxfId="13" priority="15" operator="between">
      <formula>1</formula>
      <formula>341</formula>
    </cfRule>
    <cfRule type="expression" dxfId="0" priority="16">
      <formula>$A$34&lt;&gt;""</formula>
    </cfRule>
  </conditionalFormatting>
  <conditionalFormatting sqref="C33:D33">
    <cfRule type="containsText" dxfId="12" priority="9" operator="containsText" text="e">
      <formula>NOT(ISERROR(SEARCH("e",C33)))</formula>
    </cfRule>
    <cfRule type="expression" dxfId="11" priority="10">
      <formula>$A$33&lt;&gt;""</formula>
    </cfRule>
  </conditionalFormatting>
  <conditionalFormatting sqref="E13:F14">
    <cfRule type="containsText" dxfId="10" priority="4" operator="containsText" text="u">
      <formula>NOT(ISERROR(SEARCH("u",E13)))</formula>
    </cfRule>
    <cfRule type="cellIs" dxfId="9" priority="5" operator="equal">
      <formula>$A$34&lt;&gt;"Aantal uur verlof"</formula>
    </cfRule>
  </conditionalFormatting>
  <conditionalFormatting sqref="E34:G34">
    <cfRule type="cellIs" dxfId="8" priority="6" operator="equal">
      <formula>$F$30&lt;&gt;"Werktijdfactor verlof"</formula>
    </cfRule>
    <cfRule type="cellIs" dxfId="7" priority="8" operator="between">
      <formula>0.0001</formula>
      <formula>99999</formula>
    </cfRule>
  </conditionalFormatting>
  <conditionalFormatting sqref="F82">
    <cfRule type="cellIs" dxfId="6" priority="1" operator="lessThan">
      <formula>0</formula>
    </cfRule>
  </conditionalFormatting>
  <conditionalFormatting sqref="G30">
    <cfRule type="cellIs" dxfId="5" priority="13" operator="equal">
      <formula>$C$30&lt;&gt;"Ja"</formula>
    </cfRule>
    <cfRule type="cellIs" dxfId="4" priority="14" operator="between">
      <formula>1</formula>
      <formula>1300</formula>
    </cfRule>
  </conditionalFormatting>
  <conditionalFormatting sqref="G31">
    <cfRule type="cellIs" dxfId="3" priority="11" operator="equal">
      <formula>$C$31&lt;&gt;"Ja"</formula>
    </cfRule>
    <cfRule type="cellIs" dxfId="2" priority="12" operator="between">
      <formula>0.1</formula>
      <formula>1</formula>
    </cfRule>
  </conditionalFormatting>
  <conditionalFormatting sqref="G35">
    <cfRule type="cellIs" dxfId="1" priority="7" operator="equal">
      <formula>$F$30&lt;&gt;"Werktijdfactor verlof"</formula>
    </cfRule>
  </conditionalFormatting>
  <dataValidations count="4">
    <dataValidation type="list" allowBlank="1" showInputMessage="1" showErrorMessage="1" sqref="C33:D33" xr:uid="{02FEC9AB-6D63-416F-B20F-331FD663E185}">
      <formula1>$Q$22:$Q$24</formula1>
    </dataValidation>
    <dataValidation type="list" allowBlank="1" showInputMessage="1" showErrorMessage="1" sqref="C30:C31" xr:uid="{BC80DF12-F6E0-46C5-8DE6-88AC7AA11AF5}">
      <formula1>"Ja,Nee"</formula1>
    </dataValidation>
    <dataValidation type="decimal" errorStyle="warning" operator="equal" allowBlank="1" showInputMessage="1" showErrorMessage="1" errorTitle="Let op" error="Het aantal lesuren van deze werknemer wijkt af van het ingevoerde schoolbrede aantal" sqref="C21:C25" xr:uid="{D0960A5B-23CA-457A-BD31-A4ADEAEA2B32}">
      <formula1>B21</formula1>
    </dataValidation>
    <dataValidation allowBlank="1" showInputMessage="1" showErrorMessage="1" errorTitle="Ongeldige invoer" error="Het ingevulde aantal uur verlof overstijgt het totaal aantal lesuren. Kies voor een lager aantal uur verlof." sqref="E34:G34" xr:uid="{CA2D0E99-EE08-4B3B-8788-D8197EAF50DA}"/>
  </dataValidation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A913A466450845B6795B1C77D500C7" ma:contentTypeVersion="18" ma:contentTypeDescription="Een nieuw document maken." ma:contentTypeScope="" ma:versionID="34d114a004702735b1fff370ce35e53a">
  <xsd:schema xmlns:xsd="http://www.w3.org/2001/XMLSchema" xmlns:xs="http://www.w3.org/2001/XMLSchema" xmlns:p="http://schemas.microsoft.com/office/2006/metadata/properties" xmlns:ns2="31e44fad-646f-4ba1-8bb8-8f5d6d25722e" xmlns:ns3="61c19477-f1f6-410c-97a0-cddd4b4d687f" targetNamespace="http://schemas.microsoft.com/office/2006/metadata/properties" ma:root="true" ma:fieldsID="46f2571d05c36bc410ab9149082ca218" ns2:_="" ns3:_="">
    <xsd:import namespace="31e44fad-646f-4ba1-8bb8-8f5d6d25722e"/>
    <xsd:import namespace="61c19477-f1f6-410c-97a0-cddd4b4d68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44fad-646f-4ba1-8bb8-8f5d6d257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1defcf91-241b-40c9-8398-632e96a423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19477-f1f6-410c-97a0-cddd4b4d687f"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0c32789-6051-4d0b-809a-8f4daed161f4}" ma:internalName="TaxCatchAll" ma:showField="CatchAllData" ma:web="61c19477-f1f6-410c-97a0-cddd4b4d68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c19477-f1f6-410c-97a0-cddd4b4d687f" xsi:nil="true"/>
    <lcf76f155ced4ddcb4097134ff3c332f xmlns="31e44fad-646f-4ba1-8bb8-8f5d6d2572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064FC3-398C-4702-AD43-B897B97A8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44fad-646f-4ba1-8bb8-8f5d6d25722e"/>
    <ds:schemaRef ds:uri="61c19477-f1f6-410c-97a0-cddd4b4d6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7E5C97-5E99-457D-821D-3E315314780D}">
  <ds:schemaRefs>
    <ds:schemaRef ds:uri="http://schemas.microsoft.com/sharepoint/v3/contenttype/forms"/>
  </ds:schemaRefs>
</ds:datastoreItem>
</file>

<file path=customXml/itemProps3.xml><?xml version="1.0" encoding="utf-8"?>
<ds:datastoreItem xmlns:ds="http://schemas.openxmlformats.org/officeDocument/2006/customXml" ds:itemID="{1120060B-9905-4042-9E8B-493F7955944D}">
  <ds:schemaRefs>
    <ds:schemaRef ds:uri="http://schemas.microsoft.com/office/2006/metadata/properties"/>
    <ds:schemaRef ds:uri="http://schemas.microsoft.com/office/infopath/2007/PartnerControls"/>
    <ds:schemaRef ds:uri="61c19477-f1f6-410c-97a0-cddd4b4d687f"/>
    <ds:schemaRef ds:uri="ea9733b5-9f6b-4191-9590-7f69f3097d43"/>
    <ds:schemaRef ds:uri="31e44fad-646f-4ba1-8bb8-8f5d6d2572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wtf OP, obv lesuren</vt:lpstr>
      <vt:lpstr>wtf OP, obv dagdelen onderbouw</vt:lpstr>
      <vt:lpstr>wtf OP, obv dagdelen bovenbouw</vt:lpstr>
      <vt:lpstr>wtf OOP</vt:lpstr>
      <vt:lpstr>wtf leerkracht huidig</vt:lpstr>
      <vt:lpstr>wtf OOP huidig</vt:lpstr>
      <vt:lpstr>'wtf leerkracht huidig'!Afdrukbereik</vt:lpstr>
      <vt:lpstr>'wtf OP, obv lesuren'!Afdrukbereik</vt:lpstr>
    </vt:vector>
  </TitlesOfParts>
  <Manager/>
  <Company>VGS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Sander den Hartog</dc:creator>
  <cp:keywords/>
  <dc:description/>
  <cp:lastModifiedBy>Sander den Hartog</cp:lastModifiedBy>
  <cp:revision/>
  <dcterms:created xsi:type="dcterms:W3CDTF">2014-12-09T15:05:40Z</dcterms:created>
  <dcterms:modified xsi:type="dcterms:W3CDTF">2026-05-20T14:57:53Z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0x01010008A913A466450845B6795B1C77D500C7</vt:lpwstr>
  </property>
  <property fmtid="{D5CDD505-2E9C-101B-9397-08002B2CF9AE}" pid="3" name="MediaServiceImageTags">
    <vt:lpwstr/>
  </property>
</Properties>
</file>