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AA Krijger\Desktop\Excel documenten VGS\"/>
    </mc:Choice>
  </mc:AlternateContent>
  <xr:revisionPtr revIDLastSave="0" documentId="13_ncr:1_{7BE5CA43-888D-4E72-BC1A-7833AF71112C}" xr6:coauthVersionLast="47" xr6:coauthVersionMax="47" xr10:uidLastSave="{00000000-0000-0000-0000-000000000000}"/>
  <bookViews>
    <workbookView xWindow="1905" yWindow="1905" windowWidth="38700" windowHeight="15285" tabRatio="767" xr2:uid="{00000000-000D-0000-FFFF-FFFF00000000}"/>
  </bookViews>
  <sheets>
    <sheet name="wtf OP, obv lesuren" sheetId="13" r:id="rId1"/>
    <sheet name="wtf OP, obv dagdelen onderbouw" sheetId="6" r:id="rId2"/>
    <sheet name="wtf OP, obv dagdelen bovenbouw" sheetId="14" r:id="rId3"/>
    <sheet name="wtf OOP" sheetId="9" r:id="rId4"/>
  </sheets>
  <definedNames>
    <definedName name="_xlnm.Print_Area" localSheetId="0">'wtf OP, obv lesuren'!$A$1:$I$160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14" l="1"/>
  <c r="G55" i="14" s="1"/>
  <c r="H25" i="14" s="1"/>
  <c r="C55" i="14"/>
  <c r="T54" i="14"/>
  <c r="T53" i="14"/>
  <c r="E53" i="14"/>
  <c r="T52" i="14"/>
  <c r="S49" i="14"/>
  <c r="C47" i="14"/>
  <c r="R42" i="14"/>
  <c r="H40" i="14"/>
  <c r="G40" i="14"/>
  <c r="F40" i="14"/>
  <c r="D40" i="14"/>
  <c r="H39" i="14"/>
  <c r="G39" i="14"/>
  <c r="F39" i="14"/>
  <c r="D39" i="14"/>
  <c r="A39" i="14"/>
  <c r="E38" i="14"/>
  <c r="D38" i="14"/>
  <c r="C38" i="14"/>
  <c r="A38" i="14"/>
  <c r="U37" i="14"/>
  <c r="H37" i="14"/>
  <c r="G37" i="14"/>
  <c r="F37" i="14"/>
  <c r="R36" i="14"/>
  <c r="E36" i="14"/>
  <c r="D35" i="14"/>
  <c r="D34" i="14"/>
  <c r="A34" i="14"/>
  <c r="T29" i="14"/>
  <c r="T25" i="14"/>
  <c r="T26" i="14" s="1"/>
  <c r="A37" i="14" s="1"/>
  <c r="S25" i="14"/>
  <c r="F25" i="14"/>
  <c r="C24" i="14"/>
  <c r="G23" i="14"/>
  <c r="H28" i="14" s="1"/>
  <c r="S41" i="14" s="1"/>
  <c r="F23" i="14"/>
  <c r="S38" i="14" s="1"/>
  <c r="C23" i="14"/>
  <c r="B23" i="14"/>
  <c r="R18" i="14"/>
  <c r="H9" i="14"/>
  <c r="A1" i="14"/>
  <c r="R18" i="6"/>
  <c r="E53" i="6"/>
  <c r="T54" i="6"/>
  <c r="T52" i="6"/>
  <c r="S32" i="9" s="1"/>
  <c r="T48" i="13"/>
  <c r="T50" i="13"/>
  <c r="F47" i="13"/>
  <c r="F49" i="13"/>
  <c r="F31" i="13"/>
  <c r="T46" i="13"/>
  <c r="A1" i="9"/>
  <c r="S36" i="9"/>
  <c r="S34" i="9"/>
  <c r="T53" i="6"/>
  <c r="S33" i="9" s="1"/>
  <c r="A1" i="6"/>
  <c r="T47" i="13"/>
  <c r="S22" i="9"/>
  <c r="R18" i="9"/>
  <c r="S18" i="9"/>
  <c r="S19" i="9" s="1"/>
  <c r="S20" i="9" s="1"/>
  <c r="T29" i="6"/>
  <c r="T25" i="6"/>
  <c r="T26" i="6" s="1"/>
  <c r="T27" i="6" s="1"/>
  <c r="S25" i="6"/>
  <c r="T24" i="13"/>
  <c r="S20" i="13"/>
  <c r="T27" i="14" l="1"/>
  <c r="T28" i="14"/>
  <c r="T58" i="14"/>
  <c r="S40" i="14"/>
  <c r="H30" i="14"/>
  <c r="S42" i="14"/>
  <c r="T63" i="14"/>
  <c r="S64" i="14"/>
  <c r="S21" i="9"/>
  <c r="T28" i="6"/>
  <c r="T20" i="13"/>
  <c r="T59" i="14" l="1"/>
  <c r="C53" i="14"/>
  <c r="F24" i="14" s="1"/>
  <c r="T40" i="14"/>
  <c r="T21" i="13"/>
  <c r="A32" i="13" s="1"/>
  <c r="A34" i="6"/>
  <c r="C54" i="14" l="1"/>
  <c r="C56" i="14" s="1"/>
  <c r="T60" i="14"/>
  <c r="T22" i="13"/>
  <c r="T23" i="13"/>
  <c r="H9" i="6"/>
  <c r="F13" i="13"/>
  <c r="S59" i="13"/>
  <c r="S58" i="13"/>
  <c r="H49" i="13"/>
  <c r="V46" i="13"/>
  <c r="C41" i="13"/>
  <c r="C49" i="13" s="1"/>
  <c r="H34" i="13"/>
  <c r="G34" i="13"/>
  <c r="F34" i="13"/>
  <c r="D34" i="13"/>
  <c r="A33" i="13"/>
  <c r="U32" i="13"/>
  <c r="H32" i="13"/>
  <c r="G32" i="13"/>
  <c r="F32" i="13"/>
  <c r="R31" i="13"/>
  <c r="F30" i="13"/>
  <c r="F29" i="13"/>
  <c r="F20" i="13"/>
  <c r="B20" i="13"/>
  <c r="D19" i="13"/>
  <c r="C19" i="13"/>
  <c r="C102" i="14" l="1"/>
  <c r="S43" i="14"/>
  <c r="H23" i="13"/>
  <c r="D33" i="13" s="1"/>
  <c r="S53" i="13"/>
  <c r="S34" i="13" s="1"/>
  <c r="S33" i="13"/>
  <c r="U43" i="14" l="1"/>
  <c r="V43" i="14" s="1"/>
  <c r="U38" i="14"/>
  <c r="V38" i="14" s="1"/>
  <c r="U40" i="14"/>
  <c r="V40" i="14" s="1"/>
  <c r="U42" i="14"/>
  <c r="V42" i="14" s="1"/>
  <c r="G53" i="14" s="1"/>
  <c r="G56" i="14" s="1"/>
  <c r="F100" i="14" s="1"/>
  <c r="F101" i="14" s="1"/>
  <c r="U41" i="14"/>
  <c r="V41" i="14" s="1"/>
  <c r="E58" i="14"/>
  <c r="C103" i="14"/>
  <c r="D60" i="14"/>
  <c r="H20" i="13"/>
  <c r="T34" i="13"/>
  <c r="S54" i="13"/>
  <c r="T54" i="13" s="1"/>
  <c r="S55" i="13" s="1"/>
  <c r="Q55" i="14" l="1"/>
  <c r="P42" i="14"/>
  <c r="E36" i="9"/>
  <c r="Q1" i="9"/>
  <c r="S16" i="9" s="1"/>
  <c r="G36" i="9" l="1"/>
  <c r="E36" i="6" l="1"/>
  <c r="F25" i="6" l="1"/>
  <c r="E20" i="9"/>
  <c r="F27" i="9" l="1"/>
  <c r="E27" i="9" l="1"/>
  <c r="T28" i="9"/>
  <c r="T27" i="9"/>
  <c r="E35" i="9"/>
  <c r="G35" i="9" s="1"/>
  <c r="G27" i="9"/>
  <c r="E26" i="9"/>
  <c r="E25" i="9"/>
  <c r="U28" i="9" l="1"/>
  <c r="A37" i="6"/>
  <c r="G39" i="6"/>
  <c r="G40" i="6"/>
  <c r="E55" i="6"/>
  <c r="A39" i="6"/>
  <c r="H37" i="6"/>
  <c r="G37" i="6"/>
  <c r="F37" i="6"/>
  <c r="D39" i="6"/>
  <c r="D38" i="6"/>
  <c r="U37" i="6" l="1"/>
  <c r="D40" i="6"/>
  <c r="R42" i="6"/>
  <c r="D35" i="6"/>
  <c r="C24" i="6"/>
  <c r="G55" i="6" l="1"/>
  <c r="G14" i="9" l="1"/>
  <c r="G15" i="9"/>
  <c r="G16" i="9"/>
  <c r="G17" i="9"/>
  <c r="G13" i="9"/>
  <c r="F18" i="9"/>
  <c r="E18" i="9"/>
  <c r="A28" i="9"/>
  <c r="Q26" i="9"/>
  <c r="A27" i="9"/>
  <c r="C18" i="9"/>
  <c r="B18" i="9"/>
  <c r="D34" i="6"/>
  <c r="G18" i="9" l="1"/>
  <c r="D20" i="9" s="1"/>
  <c r="R41" i="9" l="1"/>
  <c r="R31" i="9" s="1"/>
  <c r="G33" i="9"/>
  <c r="E74" i="9" s="1"/>
  <c r="E75" i="9" s="1"/>
  <c r="D22" i="9"/>
  <c r="D28" i="9"/>
  <c r="R24" i="9"/>
  <c r="G20" i="9"/>
  <c r="R42" i="9"/>
  <c r="R29" i="9"/>
  <c r="R30" i="9"/>
  <c r="S40" i="9"/>
  <c r="T31" i="9" l="1"/>
  <c r="U31" i="9" s="1"/>
  <c r="C76" i="9" s="1"/>
  <c r="G23" i="6"/>
  <c r="H28" i="6" s="1"/>
  <c r="T63" i="6" s="1"/>
  <c r="C23" i="6"/>
  <c r="H30" i="6" l="1"/>
  <c r="C38" i="6"/>
  <c r="H25" i="6"/>
  <c r="S64" i="6"/>
  <c r="T30" i="9"/>
  <c r="T29" i="9"/>
  <c r="E28" i="9" s="1"/>
  <c r="G28" i="9"/>
  <c r="S41" i="6"/>
  <c r="C47" i="6"/>
  <c r="T42" i="9" l="1"/>
  <c r="U30" i="9"/>
  <c r="F28" i="9"/>
  <c r="U29" i="9"/>
  <c r="C55" i="6"/>
  <c r="A38" i="6"/>
  <c r="R36" i="6"/>
  <c r="S49" i="6"/>
  <c r="F23" i="6"/>
  <c r="B23" i="6"/>
  <c r="G37" i="9" l="1"/>
  <c r="T58" i="6"/>
  <c r="T59" i="6" s="1"/>
  <c r="T60" i="6" s="1"/>
  <c r="S38" i="6"/>
  <c r="S40" i="6" s="1"/>
  <c r="T40" i="6" s="1"/>
  <c r="S42" i="6"/>
  <c r="S43" i="6" l="1"/>
  <c r="U40" i="6" l="1"/>
  <c r="F39" i="6" s="1"/>
  <c r="U38" i="6"/>
  <c r="V38" i="6" s="1"/>
  <c r="U41" i="6"/>
  <c r="V41" i="6" s="1"/>
  <c r="C53" i="6"/>
  <c r="F24" i="6" s="1"/>
  <c r="U43" i="6"/>
  <c r="V43" i="6" s="1"/>
  <c r="U42" i="6"/>
  <c r="V42" i="6" s="1"/>
  <c r="G53" i="6" s="1"/>
  <c r="E38" i="6"/>
  <c r="H40" i="6"/>
  <c r="F40" i="6"/>
  <c r="V40" i="6" l="1"/>
  <c r="C54" i="6" s="1"/>
  <c r="C56" i="6" s="1"/>
  <c r="H39" i="6"/>
  <c r="C102" i="6"/>
  <c r="D60" i="6" s="1"/>
  <c r="G56" i="6" l="1"/>
  <c r="F100" i="6" s="1"/>
  <c r="F101" i="6" s="1"/>
  <c r="E58" i="6"/>
  <c r="C103" i="6"/>
  <c r="P42" i="6" l="1"/>
  <c r="Q55" i="6"/>
  <c r="D40" i="9"/>
  <c r="C77" i="9" l="1"/>
  <c r="E38" i="9"/>
  <c r="S35" i="13" l="1"/>
  <c r="S36" i="13"/>
  <c r="U60" i="13"/>
  <c r="H25" i="13"/>
  <c r="C48" i="13"/>
  <c r="U54" i="13" s="1"/>
  <c r="G33" i="13" s="1"/>
  <c r="V55" i="13"/>
  <c r="V53" i="13"/>
  <c r="V54" i="13"/>
  <c r="C157" i="13"/>
  <c r="C158" i="13" s="1"/>
  <c r="U55" i="13" s="1"/>
  <c r="H33" i="13" s="1"/>
  <c r="C47" i="13"/>
  <c r="U53" i="13" s="1"/>
  <c r="F33" i="13" s="1"/>
  <c r="S37" i="13"/>
  <c r="U36" i="13" l="1"/>
  <c r="V36" i="13" s="1"/>
  <c r="H47" i="13" s="1"/>
  <c r="H50" i="13" s="1"/>
  <c r="D20" i="13"/>
  <c r="U34" i="13"/>
  <c r="V34" i="13" s="1"/>
  <c r="F52" i="13"/>
  <c r="C50" i="13"/>
  <c r="U37" i="13"/>
  <c r="V37" i="13" s="1"/>
  <c r="E54" i="13"/>
  <c r="U33" i="13"/>
  <c r="V33" i="13" s="1"/>
  <c r="U35" i="13"/>
  <c r="V35" i="13" s="1"/>
  <c r="F157" i="13" l="1"/>
  <c r="F158" i="13" s="1"/>
  <c r="Q44" i="13" s="1"/>
</calcChain>
</file>

<file path=xl/sharedStrings.xml><?xml version="1.0" encoding="utf-8"?>
<sst xmlns="http://schemas.openxmlformats.org/spreadsheetml/2006/main" count="710" uniqueCount="108">
  <si>
    <t>Normjaartaak OP schooljaar</t>
  </si>
  <si>
    <t>Schoolgegevens</t>
  </si>
  <si>
    <t>Persoonlijke gegevens</t>
  </si>
  <si>
    <t>School:</t>
  </si>
  <si>
    <t>Naam:</t>
  </si>
  <si>
    <t>Plaats</t>
  </si>
  <si>
    <t>Groep:</t>
  </si>
  <si>
    <t>Datum:</t>
  </si>
  <si>
    <t>Percentage voor- en nawerk</t>
  </si>
  <si>
    <t>Toelichting</t>
  </si>
  <si>
    <t>Binnen het basismodel wordt vastgehouden aan de maximale lessentaak van 940 uur, naar rato van de werktijdfactor. Dit betekent dat bij een bepaald aantal lesuren een minimale werktijdfactor hoort. Deze werktijdtijdsfactor wordt automatisch berekend in dit model.</t>
  </si>
  <si>
    <t>Lesuren per week</t>
  </si>
  <si>
    <t>Schoolrooster</t>
  </si>
  <si>
    <t>Werknemer</t>
  </si>
  <si>
    <t>Maandag</t>
  </si>
  <si>
    <t>Dinsdag</t>
  </si>
  <si>
    <t>Woensdag</t>
  </si>
  <si>
    <t>Naast het standaard aantal werkuren is het mogelijk dat een werknemer incidenteel extra moet werken bovenop de jaartaak. Dit kunnen bv. lesuren voor vervanging zijn of extra taakuren zoals de aanwezigheid voor een parttimer bij ouderavonden. Deze uren kunnen worden ingevuld in regel 23.</t>
  </si>
  <si>
    <t>Donderdag</t>
  </si>
  <si>
    <t>Vrijdag</t>
  </si>
  <si>
    <t>Totaal</t>
  </si>
  <si>
    <t>Extra uren per jaar bovenop de jaartaak</t>
  </si>
  <si>
    <t>Tot slot kunnen er extra uren toegekend worden voor taken die niet binnen de huidige werktijdfactor uitgevoerd kunnen worden. Regel 24 geeft de mogelijkheid hier extra uren op jaarbasis voor uit te keren.</t>
  </si>
  <si>
    <t>Lesgevende uren (excl. voor- en nawerk)</t>
  </si>
  <si>
    <t>Werktijdfactor:</t>
  </si>
  <si>
    <t>Extra taakuren (op jaarbasis)</t>
  </si>
  <si>
    <t>Werktijdfactor numeriek:</t>
  </si>
  <si>
    <t>Werknemer specifiek</t>
  </si>
  <si>
    <t>verdeling</t>
  </si>
  <si>
    <t>Vrij geroosterde lesuren</t>
  </si>
  <si>
    <t>voor/na</t>
  </si>
  <si>
    <t>Ouderschapsverlof</t>
  </si>
  <si>
    <t>Geboortedatum</t>
  </si>
  <si>
    <t>lesgebonden/behandeltaken</t>
  </si>
  <si>
    <t>overige taken</t>
  </si>
  <si>
    <t>Extra voor- en nawerk per jaar in verband met.. (uren op jaarbasis)</t>
  </si>
  <si>
    <t>.. aantal zorgleerlingen</t>
  </si>
  <si>
    <t>Het is mogelijk dat een bepaalde leerkracht extra ruimte krijgt in verband met bijzondere omstandigheden in de klas. Hiernaast is ruimte gereserveerd om deze uren in te vullen. Dit gaat ten koste van nog bestaande uren voor resttaken en worden verrekend onder de lesgebonden uren.</t>
  </si>
  <si>
    <t>.. groepsgrootte</t>
  </si>
  <si>
    <t>.. startende leerkracht</t>
  </si>
  <si>
    <t>.. anders</t>
  </si>
  <si>
    <t>TOTAALOVERZICHT verdeling werkzaamheden</t>
  </si>
  <si>
    <t>Lesgebonden uren</t>
  </si>
  <si>
    <t>Niet-lesgebonden uren</t>
  </si>
  <si>
    <t>Overgangsregeling 52+</t>
  </si>
  <si>
    <t>Lesuren op jaarbasis</t>
  </si>
  <si>
    <t>Overgangsregeling 56+</t>
  </si>
  <si>
    <t>Voor- en nawerk</t>
  </si>
  <si>
    <t>Basis en bijzonder budget</t>
  </si>
  <si>
    <t>Extra voor- en nawerk</t>
  </si>
  <si>
    <t>Totaal lesgebonden uren</t>
  </si>
  <si>
    <t>Enkel basis budget</t>
  </si>
  <si>
    <t>Taakuren buiten het voor- en nawerk op jaarbasis</t>
  </si>
  <si>
    <t>Onder de taakuren kunnen de uren aan overige taken verder uit gespecificeerd worden. Dit zijn dus de taken welke buiten het voor- en nawerk vallen. Wanneer blijkt dat het gewenst aantal taken niet binnen de huidige werktijdfactor past, zal er een foutmelding getoond worden. In dit geval moet het aantal extra taakuren van de werknemer (regel 24) worden aangepast.</t>
  </si>
  <si>
    <t>Ouderavonden</t>
  </si>
  <si>
    <t>(Team)Vergaderingen</t>
  </si>
  <si>
    <t>Teamscholing</t>
  </si>
  <si>
    <t>Project</t>
  </si>
  <si>
    <t>……</t>
  </si>
  <si>
    <t>Studieverlof</t>
  </si>
  <si>
    <t>Individuele scholing</t>
  </si>
  <si>
    <t>Peerreview</t>
  </si>
  <si>
    <t>Mobiliteit</t>
  </si>
  <si>
    <t>…..</t>
  </si>
  <si>
    <t>Resturen op jaarbasis</t>
  </si>
  <si>
    <t>Nog in te vullen</t>
  </si>
  <si>
    <t>Totaal taakuren</t>
  </si>
  <si>
    <t>Normjaartaak OP schooljaar:</t>
  </si>
  <si>
    <t>Opmerkingen:</t>
  </si>
  <si>
    <t>Het uitgangspunt van de nieuwe werktijdfactor is niet meer het aantal lesuren, maar het werkelijk aantal te werken uren. Daarom wordt in dit nieuwe model onderscheid gemaakt tussen het aantal lesuren en het aantal werkuren per dag.</t>
  </si>
  <si>
    <t>Standaard weekspreiding van lesuren (leerling) en werkuren (werknemer)</t>
  </si>
  <si>
    <t>STANDAARD SCHOOLROOSTER</t>
  </si>
  <si>
    <t>ROOSTER WERKNEMER</t>
  </si>
  <si>
    <t>Lesuren</t>
  </si>
  <si>
    <t>Ochtend</t>
  </si>
  <si>
    <t>Middag</t>
  </si>
  <si>
    <t>Lesgevende uren (ex. voor- en nawerk)</t>
  </si>
  <si>
    <t>Naast het standaard aantal werkuren is het mogelijk dat een werknemer incidenteel extra moet werken bovenop de jaartaak. Dit kunnen bv. lesuren voor vervanging zijn of extra taakuren zoals de aanwezigheid voor een parttimer bij ouderavonden.</t>
  </si>
  <si>
    <t>Extra taakuren</t>
  </si>
  <si>
    <t>Onder de taakuren kunnen de uren aan overige taken verder uit gespecificeerd worden. Dit zijn dus de taken welke buiten het voor- en nawerk vallen. Wanneer blijkt dat het gewenst aantal taken niet binnen de huidige werktijdfactor past, zal er een foutmelding getoond worden. In dit geval moet het aantal werkuren van de werknemer worden aangepast.</t>
  </si>
  <si>
    <t>Normjaartaak OOP schooljaar</t>
  </si>
  <si>
    <t>Voor een werknemer die benoemd wordt in de categorie O.O.P. moet worden bepaald hoeveel uur per dag deze werknemer nodig is. Dit gaat nadrukkelijk om werkuren en staat los van de leerlinguren. Voor O.O.P.'ers geldt ook dat deze uren verdeeld moeten worden over maximaal 40 uur per week, naar rato van de werktijdfactor. Dit betekent dus ook dat een deel in de leerlingvakanties wordt gewerkt.</t>
  </si>
  <si>
    <t>Vaste werkdagen per week</t>
  </si>
  <si>
    <t>Variabele dagen per jaar</t>
  </si>
  <si>
    <t>Daguren</t>
  </si>
  <si>
    <t>aantal dagen</t>
  </si>
  <si>
    <t>Naast het standaard aantal werkuren is het mogelijk dat een werknemer incidenteel extra moet werken bovenop de jaartaak. Dit kunnen bijvoorbeeld extra dagen zijn bij vergaderingen of projecten. Hiervoor is de tweede tabel bedoeld waarin aangegeven kan worden hoeveel dagen in het jaar, bovenop de jaartaak, moet worden gewerkt.</t>
  </si>
  <si>
    <t>Leeftijd</t>
  </si>
  <si>
    <t>Uitvoering lesgebonden en/of behandeltaken</t>
  </si>
  <si>
    <t xml:space="preserve">Lesgebonden en/of behandeltaken zijn activiteiten met één of meerdere leerling(en) die voor die leerling(en) gelden als onderwijstijd. </t>
  </si>
  <si>
    <t>Specificatie op jaarbasis</t>
  </si>
  <si>
    <t>Niet-taakgebonden uren</t>
  </si>
  <si>
    <t>Onder de taakuren kunnen de uren verder uit gespecificeerd worden. Wanneer blijkt dat het gewenst aantal taken niet binnen de huidige werktijdfactor past, zal er een foutmelding getoond worden. In dit geval moeten er extra variabelen toegevoegd worden.</t>
  </si>
  <si>
    <t>Versie januari 2025</t>
  </si>
  <si>
    <t>Professionalisering en duurzame inzetbaarheid</t>
  </si>
  <si>
    <t>De leeftijd van de werknemer bepaalt hoeveel recht er is op uren aan Professionalisering en Duurzame Inzetbaarheid (PDI).</t>
  </si>
  <si>
    <t>De leeftijd van de werknemer bepaalt hoeveel recht er is op uren aan Professionalisering en Duurzame Inzetbaarheid (PDI). Wanneer de werknemer recht heeft op verlof moet bepaald worden hoe dit verlof wordt verdeeld over lesuren, voor- en nawerk en taakuren. Hiervoor geldt geen vaste verhouding.</t>
  </si>
  <si>
    <t>Invulling specifieke bestemmingsuren PDI</t>
  </si>
  <si>
    <t>Startende werknemer</t>
  </si>
  <si>
    <t>Nee</t>
  </si>
  <si>
    <t/>
  </si>
  <si>
    <t>2025-2026</t>
  </si>
  <si>
    <t>Ja</t>
  </si>
  <si>
    <r>
      <t xml:space="preserve">Gemiddeld aantal </t>
    </r>
    <r>
      <rPr>
        <u/>
        <sz val="10"/>
        <color theme="1"/>
        <rFont val="Figtree"/>
      </rPr>
      <t>les</t>
    </r>
    <r>
      <rPr>
        <sz val="10"/>
        <color theme="1"/>
        <rFont val="Figtree"/>
      </rPr>
      <t>weken</t>
    </r>
  </si>
  <si>
    <r>
      <t xml:space="preserve">Bij </t>
    </r>
    <r>
      <rPr>
        <b/>
        <sz val="10"/>
        <color theme="1"/>
        <rFont val="Figtree"/>
      </rPr>
      <t>vrij geroosterde</t>
    </r>
    <r>
      <rPr>
        <sz val="10"/>
        <color theme="1"/>
        <rFont val="Figtree"/>
      </rPr>
      <t xml:space="preserve"> uren wordt gevraagd naar het aantal te compenseren lesuren op jaarbasis. Voorheen de zogenaamde compensatieverlofuren.</t>
    </r>
  </si>
  <si>
    <r>
      <rPr>
        <sz val="10"/>
        <color theme="1"/>
        <rFont val="Figtree"/>
      </rPr>
      <t xml:space="preserve">Spreiding </t>
    </r>
    <r>
      <rPr>
        <u/>
        <sz val="10"/>
        <color theme="1"/>
        <rFont val="Figtree"/>
      </rPr>
      <t>werk</t>
    </r>
    <r>
      <rPr>
        <sz val="10"/>
        <color theme="1"/>
        <rFont val="Figtree"/>
      </rPr>
      <t>uren</t>
    </r>
  </si>
  <si>
    <r>
      <t>De eerste stap</t>
    </r>
    <r>
      <rPr>
        <sz val="10"/>
        <color theme="1"/>
        <rFont val="Figtree"/>
      </rPr>
      <t xml:space="preserve"> is om het standaard schoolrooster in te vullen. Vul het aantal lesuren in voor een standaard lesweek en bepaal het aantal uren per dagdeel dat hierbij wordt gewerkt. </t>
    </r>
    <r>
      <rPr>
        <b/>
        <sz val="10"/>
        <color theme="1"/>
        <rFont val="Figtree"/>
      </rPr>
      <t>De tweede stap</t>
    </r>
    <r>
      <rPr>
        <sz val="10"/>
        <color theme="1"/>
        <rFont val="Figtree"/>
      </rPr>
      <t xml:space="preserve"> is om het rooster van de werknemer in te vullen. Vul het aantal lesuren in dat de werknemer les geeft in een standaard week en bepaal welke dagdelen hierbij gewerkt moet worden. Het is mogelijk af te wijken van het standaard schoolrooster in overleg met de werknemer. Wanneer een leerkracht een dag ambulant is, vult u geen lesuren in maar wel werkuren. Bij een O.O.P.'er vult u ook enkel werkuren in.</t>
    </r>
  </si>
  <si>
    <r>
      <t xml:space="preserve">Een hoger percentage aan </t>
    </r>
    <r>
      <rPr>
        <b/>
        <sz val="10"/>
        <color theme="1"/>
        <rFont val="Figtree"/>
      </rPr>
      <t>voor- en nawerk</t>
    </r>
    <r>
      <rPr>
        <sz val="10"/>
        <color theme="1"/>
        <rFont val="Figtree"/>
      </rPr>
      <t xml:space="preserve"> leidt tot een lager aantal uren voor overige taken.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</si>
</sst>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00"/>
    <numFmt numFmtId="165" formatCode="_ * #,##0_ ;_ * \-#,##0_ ;_ * &quot;-&quot;??_ ;_ @_ "/>
    <numFmt numFmtId="166" formatCode="0.0000"/>
    <numFmt numFmtId="167" formatCode="0.00000"/>
    <numFmt numFmtId="168" formatCode="_ * #,##0.0000_ ;_ * \-#,##0.0000_ ;_ * &quot;-&quot;??_ ;_ @_ "/>
    <numFmt numFmtId="169" formatCode="_ * #,##0.00000_ ;_ * \-#,##0.00000_ ;_ * &quot;-&quot;??_ ;_ @_ "/>
    <numFmt numFmtId="170" formatCode="_ * #,##0.0000_ ;_ * \-#,##0.0000_ ;_ * &quot;-&quot;????_ ;_ @_ "/>
  </numFmts>
  <fonts count="22" x14ac:knownFonts="1">
    <font>
      <sz val="10"/>
      <color theme="1"/>
      <name val="Tahoma"/>
      <family val="2"/>
    </font>
    <font>
      <sz val="10"/>
      <color theme="1"/>
      <name val="Tahoma"/>
      <family val="2"/>
    </font>
    <font>
      <sz val="8"/>
      <color theme="1"/>
      <name val="Figtree"/>
    </font>
    <font>
      <sz val="10"/>
      <color theme="1"/>
      <name val="Figtree"/>
    </font>
    <font>
      <b/>
      <sz val="14"/>
      <color theme="1"/>
      <name val="Figtree"/>
    </font>
    <font>
      <i/>
      <sz val="10"/>
      <color theme="1"/>
      <name val="Figtree"/>
    </font>
    <font>
      <b/>
      <i/>
      <sz val="10"/>
      <color theme="1"/>
      <name val="Figtree"/>
    </font>
    <font>
      <b/>
      <sz val="10"/>
      <color theme="1"/>
      <name val="Figtree"/>
    </font>
    <font>
      <u/>
      <sz val="10"/>
      <color theme="1"/>
      <name val="Figtree"/>
    </font>
    <font>
      <i/>
      <sz val="10"/>
      <color theme="0"/>
      <name val="Figtree"/>
    </font>
    <font>
      <b/>
      <u/>
      <sz val="10"/>
      <color theme="1"/>
      <name val="Figtree"/>
    </font>
    <font>
      <sz val="10"/>
      <color theme="0"/>
      <name val="Figtree"/>
    </font>
    <font>
      <b/>
      <sz val="12"/>
      <color theme="1"/>
      <name val="Figtree"/>
    </font>
    <font>
      <sz val="10"/>
      <color rgb="FFFF0000"/>
      <name val="Figtree"/>
    </font>
    <font>
      <sz val="10"/>
      <name val="Figtree"/>
    </font>
    <font>
      <i/>
      <sz val="8"/>
      <color rgb="FFFF0000"/>
      <name val="Figtree"/>
    </font>
    <font>
      <b/>
      <sz val="14"/>
      <color rgb="FFFF0000"/>
      <name val="Figtree"/>
    </font>
    <font>
      <b/>
      <sz val="10"/>
      <color rgb="FFFF0000"/>
      <name val="Figtree"/>
    </font>
    <font>
      <b/>
      <sz val="10"/>
      <name val="Figtree"/>
    </font>
    <font>
      <b/>
      <sz val="11"/>
      <color theme="1"/>
      <name val="Figtree"/>
    </font>
    <font>
      <sz val="9"/>
      <color theme="1"/>
      <name val="Figtree"/>
    </font>
    <font>
      <b/>
      <sz val="13"/>
      <color theme="1"/>
      <name val="Figtree"/>
    </font>
  </fonts>
  <fills count="8">
    <fill>
      <patternFill patternType="none"/>
    </fill>
    <fill>
      <patternFill patternType="gray125"/>
    </fill>
    <fill>
      <patternFill patternType="solid">
        <fgColor theme="0"/>
        <bgColor indexed="64"/>
      </patternFill>
    </fill>
    <fill>
      <patternFill patternType="solid">
        <fgColor rgb="FFFFABAB"/>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9A9B9D"/>
        <bgColor indexed="64"/>
      </patternFill>
    </fill>
    <fill>
      <patternFill patternType="solid">
        <fgColor rgb="FFF09A7E"/>
        <bgColor indexed="64"/>
      </patternFill>
    </fill>
  </fills>
  <borders count="20">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9A9B9D"/>
      </bottom>
      <diagonal/>
    </border>
    <border>
      <left/>
      <right style="thin">
        <color indexed="64"/>
      </right>
      <top/>
      <bottom/>
      <diagonal/>
    </border>
    <border>
      <left/>
      <right/>
      <top/>
      <bottom style="medium">
        <color indexed="64"/>
      </bottom>
      <diagonal/>
    </border>
    <border>
      <left style="hair">
        <color indexed="64"/>
      </left>
      <right/>
      <top/>
      <bottom/>
      <diagonal/>
    </border>
    <border>
      <left style="hair">
        <color indexed="64"/>
      </left>
      <right/>
      <top style="hair">
        <color indexed="64"/>
      </top>
      <bottom style="hair">
        <color indexed="64"/>
      </bottom>
      <diagonal/>
    </border>
    <border>
      <left/>
      <right/>
      <top/>
      <bottom style="thin">
        <color indexed="64"/>
      </bottom>
      <diagonal/>
    </border>
    <border>
      <left/>
      <right/>
      <top style="hair">
        <color indexed="64"/>
      </top>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2" fillId="2" borderId="0" xfId="0" applyFont="1" applyFill="1" applyAlignment="1">
      <alignment vertical="top"/>
    </xf>
    <xf numFmtId="0" fontId="3" fillId="2" borderId="0" xfId="0" applyFont="1" applyFill="1"/>
    <xf numFmtId="0" fontId="3" fillId="6" borderId="0" xfId="0" applyFont="1" applyFill="1"/>
    <xf numFmtId="0" fontId="3" fillId="0" borderId="0" xfId="0" applyFont="1"/>
    <xf numFmtId="0" fontId="4" fillId="2" borderId="0" xfId="0" applyFont="1" applyFill="1"/>
    <xf numFmtId="0" fontId="5" fillId="0" borderId="0" xfId="0" applyFont="1"/>
    <xf numFmtId="0" fontId="6" fillId="2" borderId="0" xfId="0" applyFont="1" applyFill="1"/>
    <xf numFmtId="0" fontId="7" fillId="2" borderId="0" xfId="0" applyFont="1" applyFill="1"/>
    <xf numFmtId="14" fontId="3" fillId="2" borderId="0" xfId="0" applyNumberFormat="1" applyFont="1" applyFill="1"/>
    <xf numFmtId="0" fontId="7" fillId="7" borderId="2" xfId="0" applyFont="1" applyFill="1" applyBorder="1" applyProtection="1">
      <protection locked="0"/>
    </xf>
    <xf numFmtId="9" fontId="7" fillId="7" borderId="2" xfId="0" applyNumberFormat="1" applyFont="1" applyFill="1" applyBorder="1" applyAlignment="1" applyProtection="1">
      <alignment horizontal="center"/>
      <protection locked="0"/>
    </xf>
    <xf numFmtId="2" fontId="3" fillId="0" borderId="0" xfId="0" applyNumberFormat="1" applyFont="1"/>
    <xf numFmtId="0" fontId="5" fillId="2" borderId="0" xfId="0" applyFont="1" applyFill="1" applyAlignment="1">
      <alignment vertical="top"/>
    </xf>
    <xf numFmtId="0" fontId="10" fillId="2" borderId="0" xfId="0" applyFont="1" applyFill="1"/>
    <xf numFmtId="0" fontId="10" fillId="2" borderId="0" xfId="0" applyFont="1" applyFill="1" applyAlignment="1">
      <alignment horizontal="center"/>
    </xf>
    <xf numFmtId="169" fontId="3" fillId="2" borderId="0" xfId="0" applyNumberFormat="1" applyFont="1" applyFill="1"/>
    <xf numFmtId="0" fontId="3" fillId="2" borderId="0" xfId="0" applyFont="1" applyFill="1" applyAlignment="1">
      <alignment horizontal="justify" vertical="top" wrapText="1"/>
    </xf>
    <xf numFmtId="0" fontId="8" fillId="2" borderId="0" xfId="0" applyFont="1" applyFill="1"/>
    <xf numFmtId="0" fontId="3" fillId="2" borderId="0" xfId="0" applyFont="1" applyFill="1" applyAlignment="1">
      <alignment horizontal="center"/>
    </xf>
    <xf numFmtId="0" fontId="11" fillId="2" borderId="0" xfId="0" applyFont="1" applyFill="1"/>
    <xf numFmtId="170" fontId="3" fillId="2" borderId="0" xfId="0" applyNumberFormat="1" applyFont="1" applyFill="1" applyAlignment="1">
      <alignment horizontal="center"/>
    </xf>
    <xf numFmtId="168" fontId="3" fillId="2" borderId="0" xfId="0" applyNumberFormat="1" applyFont="1" applyFill="1" applyAlignment="1">
      <alignment horizontal="center"/>
    </xf>
    <xf numFmtId="0" fontId="3" fillId="6" borderId="0" xfId="0" applyFont="1" applyFill="1" applyAlignment="1">
      <alignment horizontal="center"/>
    </xf>
    <xf numFmtId="2" fontId="3" fillId="3" borderId="2" xfId="0" applyNumberFormat="1" applyFont="1" applyFill="1" applyBorder="1" applyAlignment="1" applyProtection="1">
      <alignment horizontal="center"/>
      <protection locked="0"/>
    </xf>
    <xf numFmtId="2" fontId="3" fillId="7" borderId="2" xfId="0" applyNumberFormat="1" applyFont="1" applyFill="1" applyBorder="1" applyAlignment="1" applyProtection="1">
      <alignment horizontal="center"/>
      <protection locked="0"/>
    </xf>
    <xf numFmtId="2" fontId="3" fillId="2" borderId="0" xfId="0" applyNumberFormat="1" applyFont="1" applyFill="1" applyAlignment="1">
      <alignment horizontal="center"/>
    </xf>
    <xf numFmtId="167" fontId="3" fillId="2" borderId="0" xfId="0" applyNumberFormat="1" applyFont="1" applyFill="1" applyAlignment="1">
      <alignment horizontal="center"/>
    </xf>
    <xf numFmtId="2" fontId="3" fillId="6" borderId="0" xfId="0" applyNumberFormat="1" applyFont="1" applyFill="1" applyAlignment="1">
      <alignment horizontal="center"/>
    </xf>
    <xf numFmtId="166" fontId="3" fillId="2" borderId="0" xfId="0" applyNumberFormat="1" applyFont="1" applyFill="1" applyAlignment="1">
      <alignment horizontal="center"/>
    </xf>
    <xf numFmtId="2" fontId="7" fillId="2" borderId="0" xfId="0" applyNumberFormat="1" applyFont="1" applyFill="1" applyAlignment="1">
      <alignment horizontal="center"/>
    </xf>
    <xf numFmtId="1" fontId="7" fillId="2" borderId="0" xfId="0" applyNumberFormat="1" applyFont="1" applyFill="1" applyAlignment="1">
      <alignment horizontal="center"/>
    </xf>
    <xf numFmtId="1" fontId="7" fillId="6" borderId="0" xfId="0" applyNumberFormat="1" applyFont="1" applyFill="1" applyAlignment="1">
      <alignment horizontal="center"/>
    </xf>
    <xf numFmtId="0" fontId="5" fillId="2" borderId="0" xfId="0" applyFont="1" applyFill="1" applyAlignment="1">
      <alignment horizontal="left"/>
    </xf>
    <xf numFmtId="2" fontId="5" fillId="2" borderId="0" xfId="0" applyNumberFormat="1" applyFont="1" applyFill="1" applyAlignment="1">
      <alignment horizontal="center"/>
    </xf>
    <xf numFmtId="165" fontId="3" fillId="0" borderId="0" xfId="1" applyNumberFormat="1" applyFont="1" applyBorder="1" applyProtection="1"/>
    <xf numFmtId="43" fontId="3" fillId="2" borderId="0" xfId="0" applyNumberFormat="1" applyFont="1" applyFill="1"/>
    <xf numFmtId="0" fontId="7" fillId="6" borderId="0" xfId="0" applyFont="1" applyFill="1"/>
    <xf numFmtId="0" fontId="3" fillId="2" borderId="0" xfId="0" applyFont="1" applyFill="1" applyAlignment="1">
      <alignment vertical="top"/>
    </xf>
    <xf numFmtId="0" fontId="3" fillId="2" borderId="0" xfId="0" applyFont="1" applyFill="1" applyAlignment="1">
      <alignment vertical="top" wrapText="1"/>
    </xf>
    <xf numFmtId="14" fontId="3" fillId="0" borderId="0" xfId="0" applyNumberFormat="1" applyFont="1"/>
    <xf numFmtId="165" fontId="3" fillId="7" borderId="2" xfId="1" applyNumberFormat="1" applyFont="1" applyFill="1" applyBorder="1" applyAlignment="1" applyProtection="1">
      <protection locked="0"/>
    </xf>
    <xf numFmtId="165" fontId="12" fillId="2" borderId="0" xfId="1" applyNumberFormat="1" applyFont="1" applyFill="1" applyBorder="1" applyAlignment="1" applyProtection="1">
      <alignment horizontal="left" vertical="center"/>
    </xf>
    <xf numFmtId="165" fontId="12" fillId="6" borderId="0" xfId="1" applyNumberFormat="1" applyFont="1" applyFill="1" applyBorder="1" applyAlignment="1" applyProtection="1">
      <alignment horizontal="left" vertical="center"/>
    </xf>
    <xf numFmtId="164" fontId="3" fillId="0" borderId="0" xfId="0" applyNumberFormat="1" applyFont="1"/>
    <xf numFmtId="0" fontId="7" fillId="5" borderId="0" xfId="0" applyFont="1" applyFill="1"/>
    <xf numFmtId="0" fontId="3" fillId="5" borderId="0" xfId="0" applyFont="1" applyFill="1"/>
    <xf numFmtId="0" fontId="3" fillId="2" borderId="0" xfId="0" applyFont="1" applyFill="1" applyAlignment="1" applyProtection="1">
      <alignment horizontal="center"/>
      <protection locked="0"/>
    </xf>
    <xf numFmtId="9" fontId="7" fillId="7" borderId="10" xfId="0" applyNumberFormat="1" applyFont="1" applyFill="1" applyBorder="1" applyAlignment="1" applyProtection="1">
      <alignment horizontal="center"/>
      <protection locked="0"/>
    </xf>
    <xf numFmtId="0" fontId="3" fillId="2" borderId="0" xfId="0" applyFont="1" applyFill="1" applyAlignment="1">
      <alignment horizontal="justify" vertical="justify" wrapText="1"/>
    </xf>
    <xf numFmtId="0" fontId="7" fillId="2" borderId="0" xfId="0" applyFont="1" applyFill="1" applyAlignment="1">
      <alignment horizontal="center"/>
    </xf>
    <xf numFmtId="0" fontId="3" fillId="2" borderId="0" xfId="0" applyFont="1" applyFill="1" applyProtection="1">
      <protection locked="0"/>
    </xf>
    <xf numFmtId="0" fontId="13" fillId="6" borderId="0" xfId="0" applyFont="1" applyFill="1"/>
    <xf numFmtId="0" fontId="13" fillId="0" borderId="0" xfId="0" applyFont="1"/>
    <xf numFmtId="0" fontId="13" fillId="2" borderId="0" xfId="0" applyFont="1" applyFill="1"/>
    <xf numFmtId="165" fontId="13" fillId="0" borderId="0" xfId="0" applyNumberFormat="1" applyFont="1"/>
    <xf numFmtId="10" fontId="13" fillId="0" borderId="0" xfId="2" applyNumberFormat="1" applyFont="1" applyBorder="1" applyProtection="1"/>
    <xf numFmtId="0" fontId="3" fillId="2" borderId="0" xfId="0" applyFont="1" applyFill="1" applyAlignment="1">
      <alignment horizontal="justify" vertical="top"/>
    </xf>
    <xf numFmtId="1" fontId="3" fillId="7" borderId="2" xfId="0" applyNumberFormat="1" applyFont="1" applyFill="1" applyBorder="1" applyAlignment="1" applyProtection="1">
      <alignment horizontal="center"/>
      <protection locked="0"/>
    </xf>
    <xf numFmtId="165" fontId="7" fillId="2" borderId="0" xfId="1" applyNumberFormat="1" applyFont="1" applyFill="1" applyBorder="1" applyProtection="1"/>
    <xf numFmtId="0" fontId="7" fillId="2" borderId="6" xfId="0" applyFont="1" applyFill="1" applyBorder="1"/>
    <xf numFmtId="0" fontId="10" fillId="6" borderId="0" xfId="0" applyFont="1" applyFill="1"/>
    <xf numFmtId="165" fontId="3" fillId="2" borderId="0" xfId="0" applyNumberFormat="1" applyFont="1" applyFill="1"/>
    <xf numFmtId="0" fontId="10" fillId="2" borderId="0" xfId="0" applyFont="1" applyFill="1" applyAlignment="1">
      <alignment horizontal="left"/>
    </xf>
    <xf numFmtId="1" fontId="3" fillId="2" borderId="0" xfId="0" applyNumberFormat="1" applyFont="1" applyFill="1"/>
    <xf numFmtId="0" fontId="13" fillId="2" borderId="0" xfId="0" applyFont="1" applyFill="1" applyAlignment="1">
      <alignment wrapText="1"/>
    </xf>
    <xf numFmtId="165" fontId="3" fillId="6" borderId="0" xfId="0" applyNumberFormat="1" applyFont="1" applyFill="1"/>
    <xf numFmtId="0" fontId="15" fillId="6" borderId="0" xfId="0" applyFont="1" applyFill="1"/>
    <xf numFmtId="0" fontId="15" fillId="2" borderId="0" xfId="0" applyFont="1" applyFill="1"/>
    <xf numFmtId="165" fontId="3" fillId="2" borderId="0" xfId="1" applyNumberFormat="1" applyFont="1" applyFill="1" applyBorder="1" applyProtection="1"/>
    <xf numFmtId="165" fontId="7" fillId="6" borderId="0" xfId="0" applyNumberFormat="1" applyFont="1" applyFill="1"/>
    <xf numFmtId="1" fontId="7" fillId="2" borderId="3" xfId="0" applyNumberFormat="1" applyFont="1" applyFill="1" applyBorder="1"/>
    <xf numFmtId="1" fontId="7" fillId="2" borderId="0" xfId="0" applyNumberFormat="1" applyFont="1" applyFill="1"/>
    <xf numFmtId="165" fontId="7" fillId="2" borderId="3" xfId="0" applyNumberFormat="1" applyFont="1" applyFill="1" applyBorder="1"/>
    <xf numFmtId="165" fontId="7" fillId="2" borderId="0" xfId="0" applyNumberFormat="1" applyFont="1" applyFill="1"/>
    <xf numFmtId="0" fontId="3" fillId="7" borderId="2" xfId="0" applyFont="1" applyFill="1" applyBorder="1" applyProtection="1">
      <protection locked="0"/>
    </xf>
    <xf numFmtId="165" fontId="3" fillId="0" borderId="0" xfId="0" applyNumberFormat="1" applyFont="1"/>
    <xf numFmtId="0" fontId="3" fillId="2" borderId="0" xfId="0" applyFont="1" applyFill="1" applyAlignment="1" applyProtection="1">
      <alignment horizontal="left"/>
      <protection locked="0"/>
    </xf>
    <xf numFmtId="0" fontId="7" fillId="2" borderId="0" xfId="0" applyFont="1" applyFill="1" applyAlignment="1">
      <alignment horizontal="right"/>
    </xf>
    <xf numFmtId="0" fontId="17" fillId="2" borderId="0" xfId="0" applyFont="1" applyFill="1" applyAlignment="1">
      <alignment horizontal="left" vertical="center" wrapText="1"/>
    </xf>
    <xf numFmtId="0" fontId="17" fillId="6" borderId="0" xfId="0" applyFont="1" applyFill="1" applyAlignment="1">
      <alignment horizontal="left" vertical="center" wrapText="1"/>
    </xf>
    <xf numFmtId="1" fontId="14" fillId="2" borderId="0" xfId="0" applyNumberFormat="1" applyFont="1" applyFill="1" applyAlignment="1" applyProtection="1">
      <alignment horizontal="right"/>
      <protection locked="0"/>
    </xf>
    <xf numFmtId="0" fontId="3" fillId="2" borderId="0" xfId="0" applyFont="1" applyFill="1" applyAlignment="1" applyProtection="1">
      <alignment horizontal="right"/>
      <protection locked="0"/>
    </xf>
    <xf numFmtId="0" fontId="17" fillId="2" borderId="0" xfId="0" applyFont="1" applyFill="1" applyAlignment="1">
      <alignment vertical="center" wrapText="1"/>
    </xf>
    <xf numFmtId="0" fontId="17" fillId="6" borderId="0" xfId="0" applyFont="1" applyFill="1" applyAlignment="1">
      <alignment vertical="center" wrapText="1"/>
    </xf>
    <xf numFmtId="0" fontId="3" fillId="4" borderId="2" xfId="0" applyFont="1" applyFill="1" applyBorder="1" applyProtection="1">
      <protection locked="0"/>
    </xf>
    <xf numFmtId="0" fontId="3" fillId="2" borderId="7" xfId="0" applyFont="1" applyFill="1" applyBorder="1"/>
    <xf numFmtId="165" fontId="3" fillId="2" borderId="8" xfId="0" applyNumberFormat="1" applyFont="1" applyFill="1" applyBorder="1"/>
    <xf numFmtId="0" fontId="3" fillId="2" borderId="0" xfId="0" applyFont="1" applyFill="1" applyAlignment="1">
      <alignment horizontal="right"/>
    </xf>
    <xf numFmtId="165" fontId="7" fillId="2" borderId="5" xfId="0" applyNumberFormat="1" applyFont="1" applyFill="1" applyBorder="1"/>
    <xf numFmtId="0" fontId="3" fillId="2" borderId="0" xfId="0" applyFont="1" applyFill="1" applyAlignment="1">
      <alignment horizontal="justify" vertical="top" wrapText="1"/>
    </xf>
    <xf numFmtId="0" fontId="12" fillId="2" borderId="0" xfId="0" applyFont="1" applyFill="1" applyAlignment="1">
      <alignment horizontal="center" vertical="center"/>
    </xf>
    <xf numFmtId="165" fontId="12" fillId="2" borderId="4" xfId="1" applyNumberFormat="1" applyFont="1" applyFill="1" applyBorder="1" applyAlignment="1" applyProtection="1">
      <alignment horizontal="left" vertical="center"/>
    </xf>
    <xf numFmtId="165" fontId="12" fillId="2" borderId="5" xfId="1" applyNumberFormat="1" applyFont="1" applyFill="1" applyBorder="1" applyAlignment="1" applyProtection="1">
      <alignment horizontal="left" vertical="center"/>
    </xf>
    <xf numFmtId="0" fontId="4" fillId="7" borderId="10" xfId="0" applyFont="1" applyFill="1" applyBorder="1" applyAlignment="1" applyProtection="1">
      <alignment horizontal="center"/>
      <protection locked="0"/>
    </xf>
    <xf numFmtId="0" fontId="4" fillId="7" borderId="14" xfId="0" applyFont="1" applyFill="1" applyBorder="1" applyAlignment="1" applyProtection="1">
      <alignment horizontal="center"/>
      <protection locked="0"/>
    </xf>
    <xf numFmtId="0" fontId="3" fillId="2" borderId="1" xfId="0" applyFont="1" applyFill="1" applyBorder="1" applyProtection="1">
      <protection locked="0"/>
    </xf>
    <xf numFmtId="14" fontId="3" fillId="2" borderId="1" xfId="0" applyNumberFormat="1" applyFont="1" applyFill="1" applyBorder="1" applyProtection="1">
      <protection locked="0"/>
    </xf>
    <xf numFmtId="0" fontId="10" fillId="2" borderId="0" xfId="0" applyFont="1" applyFill="1" applyAlignment="1">
      <alignment horizontal="center"/>
    </xf>
    <xf numFmtId="0" fontId="5" fillId="2" borderId="0" xfId="0" applyFont="1" applyFill="1" applyAlignment="1">
      <alignment horizontal="center" vertical="center" wrapText="1"/>
    </xf>
    <xf numFmtId="0" fontId="5" fillId="2" borderId="0" xfId="0" applyFont="1" applyFill="1" applyAlignment="1">
      <alignment horizontal="center" wrapText="1"/>
    </xf>
    <xf numFmtId="0" fontId="3" fillId="2" borderId="0" xfId="0" applyFont="1" applyFill="1" applyAlignment="1">
      <alignment horizontal="justify" wrapText="1"/>
    </xf>
    <xf numFmtId="0" fontId="16" fillId="2" borderId="0" xfId="0" applyFont="1" applyFill="1" applyAlignment="1">
      <alignment horizontal="center" vertical="center"/>
    </xf>
    <xf numFmtId="0" fontId="3" fillId="2" borderId="0" xfId="0" applyFont="1" applyFill="1" applyAlignment="1">
      <alignment horizontal="justify" vertical="top"/>
    </xf>
    <xf numFmtId="0" fontId="17" fillId="2" borderId="0" xfId="0" applyFont="1" applyFill="1" applyAlignment="1">
      <alignment horizontal="center" vertical="center" wrapText="1"/>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3" fillId="2" borderId="0" xfId="0" applyFont="1" applyFill="1" applyAlignment="1">
      <alignment horizontal="left" wrapText="1"/>
    </xf>
    <xf numFmtId="165" fontId="3" fillId="2" borderId="0" xfId="0" applyNumberFormat="1" applyFont="1" applyFill="1" applyAlignment="1">
      <alignment horizontal="center" vertical="center"/>
    </xf>
    <xf numFmtId="9" fontId="7" fillId="7" borderId="2" xfId="0" applyNumberFormat="1" applyFont="1" applyFill="1" applyBorder="1" applyAlignment="1" applyProtection="1">
      <alignment horizontal="center"/>
      <protection locked="0"/>
    </xf>
    <xf numFmtId="9" fontId="7" fillId="7" borderId="10" xfId="0" applyNumberFormat="1" applyFont="1" applyFill="1" applyBorder="1" applyAlignment="1" applyProtection="1">
      <alignment horizontal="center"/>
      <protection locked="0"/>
    </xf>
    <xf numFmtId="9" fontId="7" fillId="7" borderId="14" xfId="0" applyNumberFormat="1" applyFont="1" applyFill="1" applyBorder="1" applyAlignment="1" applyProtection="1">
      <alignment horizontal="center"/>
      <protection locked="0"/>
    </xf>
    <xf numFmtId="14" fontId="7" fillId="7" borderId="2" xfId="0" applyNumberFormat="1" applyFont="1" applyFill="1" applyBorder="1" applyAlignment="1" applyProtection="1">
      <alignment horizontal="center"/>
      <protection locked="0"/>
    </xf>
    <xf numFmtId="0" fontId="7" fillId="2" borderId="0" xfId="0" applyFont="1" applyFill="1" applyAlignment="1">
      <alignment horizontal="center"/>
    </xf>
    <xf numFmtId="0" fontId="3" fillId="2" borderId="0" xfId="0" applyFont="1" applyFill="1" applyProtection="1">
      <protection locked="0"/>
    </xf>
    <xf numFmtId="0" fontId="3" fillId="2" borderId="0" xfId="0" applyFont="1" applyFill="1" applyAlignment="1">
      <alignment horizontal="left" vertical="top" wrapText="1"/>
    </xf>
    <xf numFmtId="0" fontId="3" fillId="7" borderId="2"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7" borderId="15" xfId="0" applyFont="1" applyFill="1" applyBorder="1" applyAlignment="1" applyProtection="1">
      <alignment horizontal="center"/>
      <protection locked="0"/>
    </xf>
    <xf numFmtId="1" fontId="7" fillId="2" borderId="16"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8" xfId="0" applyNumberFormat="1" applyFont="1" applyFill="1" applyBorder="1" applyAlignment="1">
      <alignment horizontal="center"/>
    </xf>
    <xf numFmtId="1" fontId="3" fillId="2" borderId="12" xfId="0" applyNumberFormat="1" applyFont="1" applyFill="1" applyBorder="1" applyAlignment="1">
      <alignment horizontal="center"/>
    </xf>
    <xf numFmtId="0" fontId="12" fillId="2" borderId="0" xfId="0" applyFont="1" applyFill="1"/>
    <xf numFmtId="14" fontId="3" fillId="2" borderId="1" xfId="0" applyNumberFormat="1" applyFont="1" applyFill="1" applyBorder="1" applyAlignment="1" applyProtection="1">
      <alignment horizontal="left"/>
      <protection locked="0"/>
    </xf>
    <xf numFmtId="0" fontId="19" fillId="2" borderId="0" xfId="0" applyFont="1" applyFill="1"/>
    <xf numFmtId="0" fontId="5" fillId="2" borderId="0" xfId="0" applyFont="1" applyFill="1"/>
    <xf numFmtId="0" fontId="6"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vertical="center"/>
    </xf>
    <xf numFmtId="0" fontId="8" fillId="2" borderId="0" xfId="0" applyFont="1" applyFill="1" applyAlignment="1">
      <alignment horizontal="center"/>
    </xf>
    <xf numFmtId="0" fontId="20" fillId="2" borderId="0" xfId="0" applyFont="1" applyFill="1" applyAlignment="1">
      <alignment horizontal="center" wrapText="1"/>
    </xf>
    <xf numFmtId="0" fontId="8" fillId="2" borderId="0" xfId="0" applyFont="1" applyFill="1" applyAlignment="1">
      <alignment horizontal="center"/>
    </xf>
    <xf numFmtId="0" fontId="7" fillId="2" borderId="0" xfId="0" applyFont="1" applyFill="1" applyAlignment="1">
      <alignment horizontal="justify" vertical="top" wrapText="1"/>
    </xf>
    <xf numFmtId="0" fontId="8" fillId="2" borderId="1" xfId="0" applyFont="1" applyFill="1" applyBorder="1" applyAlignment="1">
      <alignment horizontal="center" vertical="center"/>
    </xf>
    <xf numFmtId="0" fontId="3" fillId="2" borderId="0" xfId="0" applyFont="1" applyFill="1" applyAlignment="1">
      <alignment horizontal="left" indent="5"/>
    </xf>
    <xf numFmtId="2" fontId="3" fillId="7" borderId="2" xfId="1" applyNumberFormat="1" applyFont="1" applyFill="1" applyBorder="1" applyAlignment="1" applyProtection="1">
      <alignment horizontal="center"/>
      <protection locked="0"/>
    </xf>
    <xf numFmtId="0" fontId="7" fillId="2" borderId="0" xfId="0" applyFont="1" applyFill="1" applyAlignment="1">
      <alignment horizontal="left" indent="5"/>
    </xf>
    <xf numFmtId="1" fontId="7" fillId="2" borderId="12" xfId="0" applyNumberFormat="1" applyFont="1" applyFill="1" applyBorder="1" applyAlignment="1">
      <alignment horizontal="center"/>
    </xf>
    <xf numFmtId="0" fontId="5" fillId="2" borderId="0" xfId="0" applyFont="1" applyFill="1" applyAlignment="1">
      <alignment horizontal="right"/>
    </xf>
    <xf numFmtId="0" fontId="3" fillId="2" borderId="11" xfId="0" applyFont="1" applyFill="1" applyBorder="1" applyAlignment="1">
      <alignment vertical="top" wrapText="1"/>
    </xf>
    <xf numFmtId="2" fontId="3" fillId="7" borderId="2" xfId="0" applyNumberFormat="1" applyFont="1" applyFill="1" applyBorder="1" applyProtection="1">
      <protection locked="0"/>
    </xf>
    <xf numFmtId="0" fontId="12" fillId="2" borderId="9" xfId="0" applyFont="1" applyFill="1" applyBorder="1" applyAlignment="1">
      <alignment vertical="center"/>
    </xf>
    <xf numFmtId="0" fontId="12" fillId="2" borderId="13" xfId="0" applyFont="1" applyFill="1" applyBorder="1" applyAlignment="1">
      <alignment horizontal="center" vertical="center"/>
    </xf>
    <xf numFmtId="165" fontId="12" fillId="2" borderId="4" xfId="1" applyNumberFormat="1" applyFont="1" applyFill="1" applyBorder="1" applyAlignment="1" applyProtection="1">
      <alignment horizontal="center" vertical="center"/>
    </xf>
    <xf numFmtId="165" fontId="12" fillId="2" borderId="5" xfId="1" applyNumberFormat="1" applyFont="1" applyFill="1" applyBorder="1" applyAlignment="1" applyProtection="1">
      <alignment horizontal="center" vertical="center"/>
    </xf>
    <xf numFmtId="14" fontId="7" fillId="7" borderId="10" xfId="0" applyNumberFormat="1" applyFont="1" applyFill="1" applyBorder="1" applyAlignment="1" applyProtection="1">
      <alignment horizontal="center"/>
      <protection locked="0"/>
    </xf>
    <xf numFmtId="14" fontId="7" fillId="7" borderId="14" xfId="0" applyNumberFormat="1" applyFont="1" applyFill="1" applyBorder="1" applyAlignment="1" applyProtection="1">
      <alignment horizontal="center"/>
      <protection locked="0"/>
    </xf>
    <xf numFmtId="0" fontId="3" fillId="2" borderId="0" xfId="1" applyNumberFormat="1" applyFont="1" applyFill="1" applyBorder="1" applyAlignment="1" applyProtection="1">
      <alignment horizontal="center"/>
    </xf>
    <xf numFmtId="165" fontId="3" fillId="7" borderId="2" xfId="1" applyNumberFormat="1" applyFont="1" applyFill="1" applyBorder="1" applyAlignment="1" applyProtection="1">
      <alignment horizontal="center"/>
      <protection locked="0"/>
    </xf>
    <xf numFmtId="0" fontId="7" fillId="6" borderId="6" xfId="0" applyFont="1" applyFill="1" applyBorder="1"/>
    <xf numFmtId="165" fontId="15" fillId="2" borderId="0" xfId="0" applyNumberFormat="1" applyFont="1" applyFill="1"/>
    <xf numFmtId="165" fontId="7" fillId="2" borderId="3" xfId="1" applyNumberFormat="1" applyFont="1" applyFill="1" applyBorder="1" applyProtection="1"/>
    <xf numFmtId="0" fontId="17" fillId="2" borderId="9" xfId="0" applyFont="1" applyFill="1" applyBorder="1" applyAlignment="1">
      <alignment horizontal="center" vertical="center" wrapText="1"/>
    </xf>
    <xf numFmtId="0" fontId="3" fillId="7" borderId="10" xfId="0" applyFont="1" applyFill="1" applyBorder="1" applyAlignment="1" applyProtection="1">
      <alignment horizontal="center"/>
      <protection locked="0"/>
    </xf>
    <xf numFmtId="0" fontId="3" fillId="7" borderId="19"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3" fillId="4" borderId="10" xfId="0" applyFont="1" applyFill="1" applyBorder="1" applyAlignment="1" applyProtection="1">
      <alignment horizontal="center"/>
      <protection locked="0"/>
    </xf>
    <xf numFmtId="0" fontId="3" fillId="4" borderId="19" xfId="0" applyFont="1" applyFill="1" applyBorder="1" applyAlignment="1" applyProtection="1">
      <alignment horizontal="center"/>
      <protection locked="0"/>
    </xf>
    <xf numFmtId="0" fontId="3" fillId="4" borderId="14" xfId="0" applyFont="1" applyFill="1" applyBorder="1" applyAlignment="1" applyProtection="1">
      <alignment horizontal="center"/>
      <protection locked="0"/>
    </xf>
    <xf numFmtId="0" fontId="21" fillId="2" borderId="0" xfId="0" applyFont="1" applyFill="1"/>
    <xf numFmtId="0" fontId="3" fillId="2" borderId="19" xfId="0" applyFont="1" applyFill="1" applyBorder="1" applyProtection="1">
      <protection locked="0"/>
    </xf>
    <xf numFmtId="0" fontId="7" fillId="0" borderId="0" xfId="0" applyFont="1"/>
    <xf numFmtId="0" fontId="7" fillId="7" borderId="0" xfId="0" applyFont="1" applyFill="1"/>
    <xf numFmtId="0" fontId="7" fillId="2" borderId="9" xfId="0" applyFont="1" applyFill="1" applyBorder="1"/>
    <xf numFmtId="0" fontId="3" fillId="2" borderId="0" xfId="0" applyFont="1" applyFill="1" applyAlignment="1">
      <alignment horizontal="left" indent="4"/>
    </xf>
    <xf numFmtId="1" fontId="3" fillId="2" borderId="0" xfId="0" applyNumberFormat="1" applyFont="1" applyFill="1" applyAlignment="1">
      <alignment horizontal="center"/>
    </xf>
    <xf numFmtId="0" fontId="3" fillId="2" borderId="0" xfId="0" applyFont="1" applyFill="1" applyBorder="1" applyAlignment="1">
      <alignment horizontal="justify" vertical="top" wrapText="1"/>
    </xf>
    <xf numFmtId="0" fontId="3" fillId="2" borderId="11" xfId="0" applyFont="1" applyFill="1" applyBorder="1"/>
    <xf numFmtId="0" fontId="3" fillId="6" borderId="11" xfId="0" applyFont="1" applyFill="1" applyBorder="1"/>
    <xf numFmtId="0" fontId="9" fillId="6" borderId="11" xfId="0" applyFont="1" applyFill="1" applyBorder="1"/>
    <xf numFmtId="0" fontId="7" fillId="2" borderId="11" xfId="0" applyFont="1" applyFill="1" applyBorder="1"/>
    <xf numFmtId="0" fontId="5" fillId="2" borderId="11" xfId="0" applyFont="1" applyFill="1" applyBorder="1" applyAlignment="1">
      <alignment horizontal="left" indent="3"/>
    </xf>
    <xf numFmtId="0" fontId="5" fillId="2" borderId="11" xfId="0" applyFont="1" applyFill="1" applyBorder="1"/>
    <xf numFmtId="166" fontId="5" fillId="2" borderId="11" xfId="0" applyNumberFormat="1" applyFont="1" applyFill="1" applyBorder="1" applyAlignment="1">
      <alignment horizontal="center"/>
    </xf>
    <xf numFmtId="0" fontId="7" fillId="6" borderId="11" xfId="0" applyFont="1" applyFill="1" applyBorder="1"/>
    <xf numFmtId="0" fontId="5" fillId="2" borderId="11" xfId="0" applyFont="1" applyFill="1" applyBorder="1" applyAlignment="1">
      <alignment vertical="top"/>
    </xf>
    <xf numFmtId="0" fontId="3" fillId="0" borderId="11" xfId="0" applyFont="1" applyBorder="1"/>
    <xf numFmtId="0" fontId="3" fillId="2" borderId="0" xfId="0" applyFont="1" applyFill="1" applyBorder="1"/>
    <xf numFmtId="0" fontId="7" fillId="2" borderId="0" xfId="0" applyFont="1" applyFill="1" applyBorder="1"/>
    <xf numFmtId="0" fontId="7" fillId="2" borderId="0" xfId="0" applyFont="1" applyFill="1" applyBorder="1" applyAlignment="1">
      <alignment horizontal="center"/>
    </xf>
    <xf numFmtId="0" fontId="7" fillId="6" borderId="0" xfId="0" applyFont="1" applyFill="1" applyBorder="1"/>
    <xf numFmtId="0" fontId="3" fillId="2" borderId="0" xfId="0" applyFont="1" applyFill="1" applyBorder="1" applyAlignment="1">
      <alignment horizontal="left" vertical="top" wrapText="1"/>
    </xf>
    <xf numFmtId="0" fontId="3" fillId="2" borderId="0" xfId="0" applyFont="1" applyFill="1" applyBorder="1" applyProtection="1">
      <protection locked="0"/>
    </xf>
    <xf numFmtId="0" fontId="3" fillId="2" borderId="0" xfId="0" applyFont="1" applyFill="1" applyBorder="1" applyAlignment="1">
      <alignment horizontal="center"/>
    </xf>
    <xf numFmtId="0" fontId="13" fillId="6" borderId="0" xfId="0" applyFont="1" applyFill="1" applyBorder="1"/>
    <xf numFmtId="0" fontId="3" fillId="2" borderId="0" xfId="0" applyFont="1" applyFill="1" applyBorder="1" applyAlignment="1" applyProtection="1">
      <alignment horizontal="center"/>
      <protection locked="0"/>
    </xf>
    <xf numFmtId="0" fontId="13" fillId="2" borderId="0" xfId="0" applyFont="1" applyFill="1" applyBorder="1"/>
    <xf numFmtId="0" fontId="3" fillId="2" borderId="11" xfId="0" applyFont="1" applyFill="1" applyBorder="1" applyAlignment="1">
      <alignment horizontal="left"/>
    </xf>
    <xf numFmtId="0" fontId="14" fillId="2" borderId="11" xfId="0" applyFont="1" applyFill="1" applyBorder="1" applyAlignment="1">
      <alignment horizontal="center"/>
    </xf>
    <xf numFmtId="0" fontId="14" fillId="2" borderId="11" xfId="0" applyFont="1" applyFill="1" applyBorder="1"/>
    <xf numFmtId="0" fontId="13" fillId="6" borderId="11" xfId="0" applyFont="1" applyFill="1" applyBorder="1"/>
    <xf numFmtId="0" fontId="3" fillId="2" borderId="11" xfId="0" applyFont="1" applyFill="1" applyBorder="1" applyAlignment="1">
      <alignment horizontal="left" vertical="top" wrapText="1"/>
    </xf>
    <xf numFmtId="0" fontId="3" fillId="2" borderId="0" xfId="0" applyFont="1" applyFill="1" applyBorder="1" applyAlignment="1">
      <alignment horizontal="justify" vertical="top"/>
    </xf>
    <xf numFmtId="0" fontId="12" fillId="2" borderId="0" xfId="0" applyFont="1" applyFill="1" applyBorder="1" applyAlignment="1">
      <alignment horizontal="center" vertical="center"/>
    </xf>
    <xf numFmtId="0" fontId="3" fillId="6" borderId="0" xfId="0" applyFont="1" applyFill="1" applyBorder="1"/>
    <xf numFmtId="0" fontId="3" fillId="0" borderId="0" xfId="0" applyFont="1" applyBorder="1"/>
    <xf numFmtId="0" fontId="5" fillId="2" borderId="11" xfId="0" applyFont="1" applyFill="1" applyBorder="1" applyAlignment="1">
      <alignment horizontal="left" indent="1"/>
    </xf>
    <xf numFmtId="0" fontId="7" fillId="2" borderId="0" xfId="0" applyFont="1" applyFill="1" applyBorder="1" applyAlignment="1">
      <alignment horizontal="right"/>
    </xf>
    <xf numFmtId="0" fontId="3" fillId="2" borderId="0" xfId="0" applyFont="1" applyFill="1" applyBorder="1" applyAlignment="1" applyProtection="1">
      <alignment horizontal="center"/>
      <protection locked="0"/>
    </xf>
    <xf numFmtId="0" fontId="3" fillId="2" borderId="0" xfId="0" applyFont="1" applyFill="1" applyBorder="1" applyProtection="1">
      <protection locked="0"/>
    </xf>
    <xf numFmtId="0" fontId="13" fillId="2" borderId="0" xfId="0" applyFont="1" applyFill="1" applyBorder="1" applyAlignment="1">
      <alignment horizontal="center"/>
    </xf>
    <xf numFmtId="0" fontId="13" fillId="2" borderId="11" xfId="0" applyFont="1" applyFill="1" applyBorder="1" applyAlignment="1">
      <alignment horizontal="left"/>
    </xf>
    <xf numFmtId="0" fontId="3" fillId="2" borderId="11" xfId="0" applyFont="1" applyFill="1" applyBorder="1" applyAlignment="1">
      <alignment horizontal="justify" vertical="top" wrapText="1"/>
    </xf>
    <xf numFmtId="0" fontId="3" fillId="2" borderId="11" xfId="0" applyFont="1" applyFill="1" applyBorder="1" applyProtection="1">
      <protection locked="0"/>
    </xf>
    <xf numFmtId="0" fontId="13" fillId="2" borderId="11" xfId="0" applyFont="1" applyFill="1" applyBorder="1"/>
    <xf numFmtId="0" fontId="3" fillId="2" borderId="11" xfId="0" applyFont="1" applyFill="1" applyBorder="1" applyAlignment="1">
      <alignment horizontal="center"/>
    </xf>
    <xf numFmtId="0" fontId="3" fillId="2" borderId="11" xfId="0" applyFont="1" applyFill="1" applyBorder="1" applyAlignment="1">
      <alignment horizontal="justify" vertical="top"/>
    </xf>
  </cellXfs>
  <cellStyles count="3">
    <cellStyle name="Komma" xfId="1" builtinId="3"/>
    <cellStyle name="Procent" xfId="2" builtinId="5"/>
    <cellStyle name="Standaard" xfId="0" builtinId="0"/>
  </cellStyles>
  <dxfs count="76">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
      <font>
        <color auto="1"/>
      </font>
    </dxf>
    <dxf>
      <fill>
        <patternFill>
          <bgColor theme="4" tint="0.59996337778862885"/>
        </patternFill>
      </fill>
      <border>
        <left style="hair">
          <color auto="1"/>
        </left>
        <right style="hair">
          <color auto="1"/>
        </right>
        <top style="hair">
          <color auto="1"/>
        </top>
        <bottom style="hair">
          <color auto="1"/>
        </bottom>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
      <font>
        <color auto="1"/>
      </font>
    </dxf>
    <dxf>
      <fill>
        <patternFill>
          <bgColor theme="4" tint="0.59996337778862885"/>
        </patternFill>
      </fill>
      <border>
        <left style="hair">
          <color auto="1"/>
        </left>
        <right style="hair">
          <color auto="1"/>
        </right>
        <top style="hair">
          <color auto="1"/>
        </top>
        <bottom style="hair">
          <color auto="1"/>
        </bottom>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rgb="FFFF0000"/>
      </font>
    </dxf>
    <dxf>
      <border>
        <bottom style="thin">
          <color auto="1"/>
        </bottom>
        <vertical/>
        <horizontal/>
      </border>
    </dxf>
    <dxf>
      <border>
        <bottom style="thin">
          <color auto="1"/>
        </bottom>
        <vertical/>
        <horizontal/>
      </border>
    </dxf>
    <dxf>
      <border>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colors>
    <mruColors>
      <color rgb="FFF09A7E"/>
      <color rgb="FFC20000"/>
      <color rgb="FF9A9B9D"/>
      <color rgb="FF9393FF"/>
      <color rgb="FFFFABAB"/>
      <color rgb="FF00008F"/>
      <color rgb="FFCDC5FB"/>
      <color rgb="FFB3B3FF"/>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819150</xdr:colOff>
      <xdr:row>158</xdr:row>
      <xdr:rowOff>19050</xdr:rowOff>
    </xdr:from>
    <xdr:to>
      <xdr:col>5</xdr:col>
      <xdr:colOff>360680</xdr:colOff>
      <xdr:row>160</xdr:row>
      <xdr:rowOff>0</xdr:rowOff>
    </xdr:to>
    <xdr:sp macro="" textlink="">
      <xdr:nvSpPr>
        <xdr:cNvPr id="18433" name="CommandButton1" hidden="1">
          <a:extLst>
            <a:ext uri="{63B3BB69-23CF-44E3-9099-C40C66FF867C}">
              <a14:compatExt xmlns:a14="http://schemas.microsoft.com/office/drawing/2010/main"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533400</xdr:colOff>
      <xdr:row>0</xdr:row>
      <xdr:rowOff>9525</xdr:rowOff>
    </xdr:from>
    <xdr:to>
      <xdr:col>9</xdr:col>
      <xdr:colOff>355</xdr:colOff>
      <xdr:row>3</xdr:row>
      <xdr:rowOff>30980</xdr:rowOff>
    </xdr:to>
    <xdr:pic>
      <xdr:nvPicPr>
        <xdr:cNvPr id="4" name="Afbeelding 3">
          <a:extLst>
            <a:ext uri="{FF2B5EF4-FFF2-40B4-BE49-F238E27FC236}">
              <a16:creationId xmlns:a16="http://schemas.microsoft.com/office/drawing/2014/main" id="{77930D7A-2967-15EE-91A0-D17451E08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0" y="9525"/>
          <a:ext cx="1562455" cy="57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101</xdr:row>
      <xdr:rowOff>123825</xdr:rowOff>
    </xdr:from>
    <xdr:to>
      <xdr:col>5</xdr:col>
      <xdr:colOff>628650</xdr:colOff>
      <xdr:row>103</xdr:row>
      <xdr:rowOff>95250</xdr:rowOff>
    </xdr:to>
    <xdr:sp macro="" textlink="">
      <xdr:nvSpPr>
        <xdr:cNvPr id="3073" name="CommandButton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361950</xdr:colOff>
      <xdr:row>0</xdr:row>
      <xdr:rowOff>1</xdr:rowOff>
    </xdr:from>
    <xdr:to>
      <xdr:col>9</xdr:col>
      <xdr:colOff>355</xdr:colOff>
      <xdr:row>3</xdr:row>
      <xdr:rowOff>52943</xdr:rowOff>
    </xdr:to>
    <xdr:pic>
      <xdr:nvPicPr>
        <xdr:cNvPr id="4" name="Afbeelding 3">
          <a:extLst>
            <a:ext uri="{FF2B5EF4-FFF2-40B4-BE49-F238E27FC236}">
              <a16:creationId xmlns:a16="http://schemas.microsoft.com/office/drawing/2014/main" id="{AE5A1C81-FBCD-723F-CA3D-F3FBAEA87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6925" y="1"/>
          <a:ext cx="1648180" cy="605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219075</xdr:colOff>
      <xdr:row>101</xdr:row>
      <xdr:rowOff>123825</xdr:rowOff>
    </xdr:from>
    <xdr:to>
      <xdr:col>5</xdr:col>
      <xdr:colOff>628650</xdr:colOff>
      <xdr:row>103</xdr:row>
      <xdr:rowOff>95250</xdr:rowOff>
    </xdr:to>
    <xdr:sp macro="" textlink="">
      <xdr:nvSpPr>
        <xdr:cNvPr id="2" name="CommandButton1" hidden="1">
          <a:extLst>
            <a:ext uri="{63B3BB69-23CF-44E3-9099-C40C66FF867C}">
              <a14:compatExt xmlns:a14="http://schemas.microsoft.com/office/drawing/2010/main" spid="_x0000_s3073"/>
            </a:ext>
            <a:ext uri="{FF2B5EF4-FFF2-40B4-BE49-F238E27FC236}">
              <a16:creationId xmlns:a16="http://schemas.microsoft.com/office/drawing/2014/main" id="{0513A836-3CB7-4B6F-96ED-EC47E0076960}"/>
            </a:ext>
          </a:extLst>
        </xdr:cNvPr>
        <xdr:cNvSpPr/>
      </xdr:nvSpPr>
      <xdr:spPr bwMode="auto">
        <a:xfrm>
          <a:off x="3627120" y="12374880"/>
          <a:ext cx="1706880" cy="3124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476250</xdr:colOff>
      <xdr:row>0</xdr:row>
      <xdr:rowOff>0</xdr:rowOff>
    </xdr:from>
    <xdr:to>
      <xdr:col>9</xdr:col>
      <xdr:colOff>9880</xdr:colOff>
      <xdr:row>3</xdr:row>
      <xdr:rowOff>14457</xdr:rowOff>
    </xdr:to>
    <xdr:pic>
      <xdr:nvPicPr>
        <xdr:cNvPr id="5" name="Afbeelding 4">
          <a:extLst>
            <a:ext uri="{FF2B5EF4-FFF2-40B4-BE49-F238E27FC236}">
              <a16:creationId xmlns:a16="http://schemas.microsoft.com/office/drawing/2014/main" id="{2AE63A1D-DE06-49FC-C26D-E13A4125F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1225" y="0"/>
          <a:ext cx="1543405" cy="5669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76</xdr:row>
      <xdr:rowOff>0</xdr:rowOff>
    </xdr:from>
    <xdr:to>
      <xdr:col>5</xdr:col>
      <xdr:colOff>19685</xdr:colOff>
      <xdr:row>77</xdr:row>
      <xdr:rowOff>129540</xdr:rowOff>
    </xdr:to>
    <xdr:sp macro="" textlink="">
      <xdr:nvSpPr>
        <xdr:cNvPr id="10241" name="CommandButton1" hidden="1">
          <a:extLst>
            <a:ext uri="{63B3BB69-23CF-44E3-9099-C40C66FF867C}">
              <a14:compatExt xmlns:a14="http://schemas.microsoft.com/office/drawing/2010/main"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539593</xdr:colOff>
      <xdr:row>0</xdr:row>
      <xdr:rowOff>1</xdr:rowOff>
    </xdr:from>
    <xdr:to>
      <xdr:col>8</xdr:col>
      <xdr:colOff>1</xdr:colOff>
      <xdr:row>3</xdr:row>
      <xdr:rowOff>33619</xdr:rowOff>
    </xdr:to>
    <xdr:pic>
      <xdr:nvPicPr>
        <xdr:cNvPr id="4" name="Afbeelding 3">
          <a:extLst>
            <a:ext uri="{FF2B5EF4-FFF2-40B4-BE49-F238E27FC236}">
              <a16:creationId xmlns:a16="http://schemas.microsoft.com/office/drawing/2014/main" id="{7D1E12AE-34BB-D26F-EDF1-881A02184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4005" y="1"/>
          <a:ext cx="1555908" cy="571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8"/>
  <dimension ref="A1:V162"/>
  <sheetViews>
    <sheetView tabSelected="1" zoomScaleNormal="100" workbookViewId="0">
      <selection activeCell="F49" sqref="F49"/>
    </sheetView>
  </sheetViews>
  <sheetFormatPr defaultColWidth="0" defaultRowHeight="0" customHeight="1" zeroHeight="1" x14ac:dyDescent="0.2"/>
  <cols>
    <col min="1" max="1" width="12.28515625" style="4" customWidth="1"/>
    <col min="2" max="3" width="14.28515625" style="4" customWidth="1"/>
    <col min="4" max="4" width="13.7109375" style="4" customWidth="1"/>
    <col min="5" max="5" width="3.42578125" style="4" customWidth="1"/>
    <col min="6" max="7" width="14.28515625" style="4" customWidth="1"/>
    <col min="8" max="8" width="14.42578125" style="4" customWidth="1"/>
    <col min="9" max="9" width="2.7109375" style="2" customWidth="1"/>
    <col min="10" max="10" width="2" style="3" customWidth="1"/>
    <col min="11" max="15" width="13.7109375" style="46" customWidth="1"/>
    <col min="16" max="17" width="13.7109375" style="2" hidden="1" customWidth="1"/>
    <col min="18" max="18" width="10.28515625" style="4" hidden="1" customWidth="1"/>
    <col min="19" max="19" width="9.42578125" style="4" hidden="1" customWidth="1"/>
    <col min="20" max="20" width="10.42578125" style="4" hidden="1" customWidth="1"/>
    <col min="21" max="21" width="9.28515625" style="4" hidden="1" customWidth="1"/>
    <col min="22" max="22" width="9.42578125" style="4" hidden="1" customWidth="1"/>
    <col min="23" max="16384" width="9.28515625" style="4" hidden="1"/>
  </cols>
  <sheetData>
    <row r="1" spans="1:21" ht="12.75" x14ac:dyDescent="0.2">
      <c r="A1" s="1" t="s">
        <v>93</v>
      </c>
      <c r="B1" s="2"/>
      <c r="C1" s="2"/>
      <c r="D1" s="2"/>
      <c r="E1" s="2"/>
      <c r="F1" s="2"/>
      <c r="G1" s="2"/>
      <c r="H1" s="2"/>
      <c r="K1" s="3"/>
      <c r="L1" s="3"/>
      <c r="M1" s="3"/>
      <c r="N1" s="3"/>
      <c r="O1" s="3"/>
    </row>
    <row r="2" spans="1:21" ht="18" x14ac:dyDescent="0.25">
      <c r="A2" s="5" t="s">
        <v>0</v>
      </c>
      <c r="B2" s="2"/>
      <c r="C2" s="2"/>
      <c r="D2" s="94" t="s">
        <v>101</v>
      </c>
      <c r="E2" s="95"/>
      <c r="F2" s="2"/>
      <c r="G2" s="2"/>
      <c r="H2" s="2"/>
      <c r="K2" s="3"/>
      <c r="L2" s="3"/>
      <c r="M2" s="3"/>
      <c r="N2" s="3"/>
      <c r="O2" s="3"/>
      <c r="U2" s="6"/>
    </row>
    <row r="3" spans="1:21" ht="12.75" x14ac:dyDescent="0.2">
      <c r="A3" s="2"/>
      <c r="B3" s="2"/>
      <c r="C3" s="2"/>
      <c r="D3" s="2"/>
      <c r="E3" s="2"/>
      <c r="F3" s="2"/>
      <c r="G3" s="2"/>
      <c r="H3" s="2"/>
      <c r="K3" s="3"/>
      <c r="L3" s="3"/>
      <c r="M3" s="3"/>
      <c r="N3" s="3"/>
      <c r="O3" s="3"/>
    </row>
    <row r="4" spans="1:21" ht="12.75" x14ac:dyDescent="0.2">
      <c r="A4" s="7" t="s">
        <v>1</v>
      </c>
      <c r="B4" s="2"/>
      <c r="C4" s="2"/>
      <c r="D4" s="2"/>
      <c r="E4" s="2"/>
      <c r="F4" s="7" t="s">
        <v>2</v>
      </c>
      <c r="G4" s="2"/>
      <c r="H4" s="2"/>
      <c r="K4" s="3"/>
      <c r="L4" s="3"/>
      <c r="M4" s="3"/>
      <c r="N4" s="3"/>
      <c r="O4" s="3"/>
    </row>
    <row r="5" spans="1:21" ht="12.75" x14ac:dyDescent="0.2">
      <c r="A5" s="2" t="s">
        <v>3</v>
      </c>
      <c r="B5" s="96"/>
      <c r="C5" s="96"/>
      <c r="D5" s="96"/>
      <c r="E5" s="2"/>
      <c r="F5" s="2" t="s">
        <v>4</v>
      </c>
      <c r="G5" s="96"/>
      <c r="H5" s="96"/>
      <c r="K5" s="3"/>
      <c r="L5" s="3"/>
      <c r="M5" s="3"/>
      <c r="N5" s="3"/>
      <c r="O5" s="3"/>
    </row>
    <row r="6" spans="1:21" ht="12.75" x14ac:dyDescent="0.2">
      <c r="A6" s="2" t="s">
        <v>5</v>
      </c>
      <c r="B6" s="96"/>
      <c r="C6" s="96"/>
      <c r="D6" s="96"/>
      <c r="E6" s="2"/>
      <c r="F6" s="2" t="s">
        <v>6</v>
      </c>
      <c r="G6" s="96"/>
      <c r="H6" s="96"/>
      <c r="K6" s="3"/>
      <c r="L6" s="3"/>
      <c r="M6" s="3"/>
      <c r="N6" s="3"/>
      <c r="O6" s="3"/>
    </row>
    <row r="7" spans="1:21" ht="12.75" x14ac:dyDescent="0.2">
      <c r="A7" s="2" t="s">
        <v>7</v>
      </c>
      <c r="B7" s="97"/>
      <c r="C7" s="96"/>
      <c r="D7" s="96"/>
      <c r="E7" s="2"/>
      <c r="F7" s="2"/>
      <c r="G7" s="2"/>
      <c r="H7" s="2"/>
      <c r="K7" s="3"/>
      <c r="L7" s="3"/>
      <c r="M7" s="3"/>
      <c r="N7" s="3"/>
      <c r="O7" s="3"/>
      <c r="U7" s="8"/>
    </row>
    <row r="8" spans="1:21" ht="12.75" x14ac:dyDescent="0.2">
      <c r="A8" s="2"/>
      <c r="B8" s="9"/>
      <c r="C8" s="2"/>
      <c r="D8" s="2"/>
      <c r="E8" s="2"/>
      <c r="F8" s="2"/>
      <c r="G8" s="2"/>
      <c r="H8" s="2"/>
      <c r="K8" s="3"/>
      <c r="L8" s="3"/>
      <c r="M8" s="3"/>
      <c r="N8" s="3"/>
      <c r="O8" s="3"/>
      <c r="U8" s="8"/>
    </row>
    <row r="9" spans="1:21" ht="12.75" x14ac:dyDescent="0.2">
      <c r="A9" s="2" t="s">
        <v>103</v>
      </c>
      <c r="B9" s="8"/>
      <c r="C9" s="10">
        <v>37.979999999999997</v>
      </c>
      <c r="D9" s="2" t="s">
        <v>8</v>
      </c>
      <c r="E9" s="2"/>
      <c r="F9" s="2"/>
      <c r="G9" s="11">
        <v>0.4</v>
      </c>
      <c r="H9" s="2"/>
      <c r="K9" s="3"/>
      <c r="L9" s="3"/>
      <c r="M9" s="3"/>
      <c r="N9" s="3"/>
      <c r="O9" s="3"/>
      <c r="U9" s="8"/>
    </row>
    <row r="10" spans="1:21" ht="12.75" x14ac:dyDescent="0.2">
      <c r="A10" s="168"/>
      <c r="B10" s="168"/>
      <c r="C10" s="168"/>
      <c r="D10" s="168"/>
      <c r="E10" s="168"/>
      <c r="F10" s="168"/>
      <c r="G10" s="168"/>
      <c r="H10" s="168"/>
      <c r="I10" s="168"/>
      <c r="J10" s="169"/>
      <c r="K10" s="170" t="s">
        <v>9</v>
      </c>
      <c r="L10" s="169"/>
      <c r="M10" s="169"/>
      <c r="N10" s="169"/>
      <c r="O10" s="169"/>
      <c r="S10" s="12"/>
    </row>
    <row r="11" spans="1:21" ht="12.75" customHeight="1" x14ac:dyDescent="0.2">
      <c r="A11" s="2"/>
      <c r="B11" s="2"/>
      <c r="C11" s="2"/>
      <c r="D11" s="2"/>
      <c r="E11" s="2"/>
      <c r="F11" s="2"/>
      <c r="G11" s="2"/>
      <c r="H11" s="2"/>
      <c r="K11" s="167" t="s">
        <v>10</v>
      </c>
      <c r="L11" s="167"/>
      <c r="M11" s="167"/>
      <c r="N11" s="167"/>
      <c r="O11" s="167"/>
      <c r="P11" s="13"/>
      <c r="Q11" s="13"/>
    </row>
    <row r="12" spans="1:21" ht="12.75" x14ac:dyDescent="0.2">
      <c r="A12" s="8"/>
      <c r="B12" s="14"/>
      <c r="C12" s="98" t="s">
        <v>11</v>
      </c>
      <c r="D12" s="98"/>
      <c r="E12" s="15"/>
      <c r="F12" s="2"/>
      <c r="G12" s="2"/>
      <c r="H12" s="16"/>
      <c r="K12" s="90"/>
      <c r="L12" s="90"/>
      <c r="M12" s="90"/>
      <c r="N12" s="90"/>
      <c r="O12" s="90"/>
      <c r="P12" s="13"/>
      <c r="Q12" s="13"/>
    </row>
    <row r="13" spans="1:21" ht="12.75" customHeight="1" x14ac:dyDescent="0.2">
      <c r="A13" s="8"/>
      <c r="B13" s="18"/>
      <c r="C13" s="19" t="s">
        <v>12</v>
      </c>
      <c r="D13" s="19" t="s">
        <v>13</v>
      </c>
      <c r="E13" s="19"/>
      <c r="F13" s="20">
        <f>40/(940/C9)</f>
        <v>1.6161702127659572</v>
      </c>
      <c r="G13" s="21"/>
      <c r="H13" s="22"/>
      <c r="I13" s="19"/>
      <c r="J13" s="23"/>
      <c r="K13" s="90"/>
      <c r="L13" s="90"/>
      <c r="M13" s="90"/>
      <c r="N13" s="90"/>
      <c r="O13" s="90"/>
      <c r="P13" s="13"/>
      <c r="Q13" s="13"/>
    </row>
    <row r="14" spans="1:21" ht="12.75" customHeight="1" x14ac:dyDescent="0.2">
      <c r="A14" s="8"/>
      <c r="B14" s="2" t="s">
        <v>14</v>
      </c>
      <c r="C14" s="24">
        <v>5.75</v>
      </c>
      <c r="D14" s="25">
        <v>5.75</v>
      </c>
      <c r="E14" s="19"/>
      <c r="F14" s="2"/>
      <c r="G14" s="26"/>
      <c r="H14" s="27"/>
      <c r="I14" s="26"/>
      <c r="J14" s="28"/>
      <c r="K14" s="90"/>
      <c r="L14" s="90"/>
      <c r="M14" s="90"/>
      <c r="N14" s="90"/>
      <c r="O14" s="90"/>
      <c r="P14" s="13"/>
      <c r="Q14" s="13"/>
    </row>
    <row r="15" spans="1:21" ht="12.75" x14ac:dyDescent="0.2">
      <c r="A15" s="8"/>
      <c r="B15" s="2" t="s">
        <v>15</v>
      </c>
      <c r="C15" s="24">
        <v>5.75</v>
      </c>
      <c r="D15" s="25">
        <v>5.75</v>
      </c>
      <c r="E15" s="19"/>
      <c r="F15" s="2"/>
      <c r="G15" s="26"/>
      <c r="H15" s="26"/>
      <c r="I15" s="26"/>
      <c r="J15" s="28"/>
      <c r="K15" s="90"/>
      <c r="L15" s="90"/>
      <c r="M15" s="90"/>
      <c r="N15" s="90"/>
      <c r="O15" s="90"/>
      <c r="P15" s="13"/>
      <c r="Q15" s="13"/>
    </row>
    <row r="16" spans="1:21" ht="12.75" customHeight="1" x14ac:dyDescent="0.2">
      <c r="A16" s="8"/>
      <c r="B16" s="2" t="s">
        <v>16</v>
      </c>
      <c r="C16" s="24">
        <v>3.75</v>
      </c>
      <c r="D16" s="25">
        <v>3.75</v>
      </c>
      <c r="E16" s="19"/>
      <c r="F16" s="2"/>
      <c r="G16" s="26"/>
      <c r="H16" s="27"/>
      <c r="I16" s="26"/>
      <c r="J16" s="28"/>
      <c r="K16" s="90" t="s">
        <v>17</v>
      </c>
      <c r="L16" s="90"/>
      <c r="M16" s="90"/>
      <c r="N16" s="90"/>
      <c r="O16" s="90"/>
      <c r="P16" s="13"/>
      <c r="Q16" s="13"/>
    </row>
    <row r="17" spans="1:22" ht="12.75" customHeight="1" x14ac:dyDescent="0.2">
      <c r="A17" s="8"/>
      <c r="B17" s="2" t="s">
        <v>18</v>
      </c>
      <c r="C17" s="24">
        <v>5.75</v>
      </c>
      <c r="D17" s="25">
        <v>5.75</v>
      </c>
      <c r="E17" s="19"/>
      <c r="F17" s="2"/>
      <c r="G17" s="29"/>
      <c r="H17" s="29"/>
      <c r="I17" s="26"/>
      <c r="J17" s="28"/>
      <c r="K17" s="90"/>
      <c r="L17" s="90"/>
      <c r="M17" s="90"/>
      <c r="N17" s="90"/>
      <c r="O17" s="90"/>
      <c r="P17" s="13"/>
      <c r="Q17" s="13"/>
    </row>
    <row r="18" spans="1:22" ht="12.75" customHeight="1" x14ac:dyDescent="0.2">
      <c r="A18" s="8"/>
      <c r="B18" s="2" t="s">
        <v>19</v>
      </c>
      <c r="C18" s="24">
        <v>3.75</v>
      </c>
      <c r="D18" s="25"/>
      <c r="E18" s="19"/>
      <c r="F18" s="2"/>
      <c r="G18" s="26"/>
      <c r="H18" s="29"/>
      <c r="I18" s="26"/>
      <c r="J18" s="28"/>
      <c r="K18" s="90"/>
      <c r="L18" s="90"/>
      <c r="M18" s="90"/>
      <c r="N18" s="90"/>
      <c r="O18" s="90"/>
      <c r="P18" s="13"/>
      <c r="Q18" s="13"/>
    </row>
    <row r="19" spans="1:22" ht="12.75" x14ac:dyDescent="0.2">
      <c r="A19" s="8"/>
      <c r="B19" s="8" t="s">
        <v>20</v>
      </c>
      <c r="C19" s="30">
        <f>SUM(C14:C18)</f>
        <v>24.75</v>
      </c>
      <c r="D19" s="30">
        <f>SUM(D14:D18)</f>
        <v>21</v>
      </c>
      <c r="E19" s="19"/>
      <c r="F19" s="31"/>
      <c r="G19" s="30"/>
      <c r="H19" s="30"/>
      <c r="I19" s="31"/>
      <c r="J19" s="32"/>
      <c r="K19" s="90"/>
      <c r="L19" s="90"/>
      <c r="M19" s="90"/>
      <c r="N19" s="90"/>
      <c r="O19" s="90"/>
      <c r="P19" s="13"/>
      <c r="Q19" s="13"/>
    </row>
    <row r="20" spans="1:22" ht="12.75" customHeight="1" x14ac:dyDescent="0.2">
      <c r="A20" s="8"/>
      <c r="B20" s="33" t="str">
        <f>IF(OR(C33&gt;0,H30&gt;0),"Totaal exclusief verlofuren","")</f>
        <v/>
      </c>
      <c r="C20" s="19"/>
      <c r="D20" s="34" t="str">
        <f>IF(B20="","",C47/C9)</f>
        <v/>
      </c>
      <c r="E20" s="19"/>
      <c r="F20" s="99" t="str">
        <f>IF(C33&gt;0,"Werktijdfactor exclusief verlof duurzame inzetbaarheid:",IF(H30&gt;0,"Werktijdfactor exclusief ouderschapsverlof:",""))</f>
        <v/>
      </c>
      <c r="G20" s="99"/>
      <c r="H20" s="100" t="str">
        <f>IF(C33&gt;0,FLOOR((LEFT(H23,2)/40-(H49/1659))*40,1)&amp;" uur"&amp;IF((ROUND(((LEFT(H23,2)/40-(H49/1659))*40-FLOOR((LEFT(H23,2)/40-(H49/1659))*40,1))*60,0))=0,""," en "&amp;ROUND(((LEFT(H23,2)/40-(H49/1659))*40-FLOOR((LEFT(H23,2)/40-(H49/1659))*40,1))*60,0)&amp;" minuten"),IF(H30&gt;0,FLOOR((LEFT(H23,2)/40-(H49/1659))*40,1)&amp;" uur"&amp;IF((ROUND(((LEFT(H23,2)/40-(H49/1659))*40-FLOOR((LEFT(H23,2)/40-(H49/1659))*40,1))*60,0))=0,""," en "&amp;ROUND(((LEFT(H23,2)/40-(H49/1659))*40-FLOOR((LEFT(H23,2)/40-(H49/1659))*40,1))*60,0)&amp;" minuten"),""))</f>
        <v/>
      </c>
      <c r="I20" s="31"/>
      <c r="J20" s="32"/>
      <c r="K20" s="1"/>
      <c r="L20" s="17"/>
      <c r="M20" s="17"/>
      <c r="N20" s="17"/>
      <c r="O20" s="17"/>
      <c r="P20" s="13"/>
      <c r="Q20" s="13"/>
      <c r="S20" s="35">
        <f ca="1">YEAR(NOW())-YEAR(C31)</f>
        <v>126</v>
      </c>
      <c r="T20" s="4">
        <f ca="1">YEAR(NOW())</f>
        <v>2026</v>
      </c>
    </row>
    <row r="21" spans="1:22" ht="12.75" customHeight="1" x14ac:dyDescent="0.2">
      <c r="A21" s="8"/>
      <c r="B21" s="8"/>
      <c r="C21" s="8"/>
      <c r="D21" s="36"/>
      <c r="E21" s="19"/>
      <c r="F21" s="99"/>
      <c r="G21" s="99"/>
      <c r="H21" s="100"/>
      <c r="I21" s="8"/>
      <c r="J21" s="37"/>
      <c r="K21" s="38"/>
      <c r="L21" s="39"/>
      <c r="M21" s="39"/>
      <c r="N21" s="39"/>
      <c r="O21" s="39"/>
      <c r="P21" s="13"/>
      <c r="Q21" s="13"/>
      <c r="S21" s="40">
        <v>21459</v>
      </c>
      <c r="T21" s="40">
        <f ca="1">DATE((T20-57),MONTH(C31),DAY(C31))</f>
        <v>25203</v>
      </c>
    </row>
    <row r="22" spans="1:22" ht="13.5" customHeight="1" thickBot="1" x14ac:dyDescent="0.25">
      <c r="A22" s="18" t="s">
        <v>21</v>
      </c>
      <c r="B22" s="18"/>
      <c r="C22" s="18"/>
      <c r="D22" s="18"/>
      <c r="E22" s="18"/>
      <c r="F22" s="18"/>
      <c r="G22" s="8"/>
      <c r="H22" s="8"/>
      <c r="I22" s="8"/>
      <c r="J22" s="37"/>
      <c r="K22" s="90" t="s">
        <v>22</v>
      </c>
      <c r="L22" s="90"/>
      <c r="M22" s="90"/>
      <c r="N22" s="90"/>
      <c r="O22" s="90"/>
      <c r="P22" s="13"/>
      <c r="Q22" s="13"/>
      <c r="S22" s="40"/>
      <c r="T22" s="4" t="str">
        <f>IF(C31="","",IF(C31&lt;=S21,"Overgangsregeling 56+",IF(C31&lt;=T21,"Basis en bijzonder budget","")))</f>
        <v/>
      </c>
    </row>
    <row r="23" spans="1:22" ht="12.75" customHeight="1" x14ac:dyDescent="0.2">
      <c r="A23" s="2" t="s">
        <v>23</v>
      </c>
      <c r="B23" s="8"/>
      <c r="C23" s="8"/>
      <c r="D23" s="41"/>
      <c r="E23" s="19"/>
      <c r="F23" s="91" t="s">
        <v>24</v>
      </c>
      <c r="G23" s="91"/>
      <c r="H23" s="92" t="str">
        <f>IFERROR(CEILING(IF(AND((D19*C9+D23-H29)&gt;940,(D19*C9+D23-H29)&lt;945),40+D24/41.475,IF((940/(ROUNDDOWN((D19+D23/C9-H29/C9)*F13,1))*((D19+D23/C9-H29/C9)*F13))&lt;945,(ROUNDDOWN((D19+D23/C9-H29/C9)*F13,1)),(D19+D23/C9-H29/C9)*F13)+D24/41.475),1)&amp;" uur",0)</f>
        <v>34 uur</v>
      </c>
      <c r="I23" s="42"/>
      <c r="J23" s="43"/>
      <c r="K23" s="90"/>
      <c r="L23" s="90"/>
      <c r="M23" s="90"/>
      <c r="N23" s="90"/>
      <c r="O23" s="90"/>
      <c r="P23" s="13"/>
      <c r="Q23" s="13"/>
      <c r="T23" s="4" t="str">
        <f>IF(C31="","",IF(C31&lt;=S21,"Basis en bijzonder budget",IF(C31&lt;=T21,"Enkel basis budget","")))</f>
        <v/>
      </c>
    </row>
    <row r="24" spans="1:22" ht="13.5" customHeight="1" thickBot="1" x14ac:dyDescent="0.25">
      <c r="A24" s="2" t="s">
        <v>25</v>
      </c>
      <c r="B24" s="8"/>
      <c r="D24" s="41"/>
      <c r="E24" s="19"/>
      <c r="F24" s="91"/>
      <c r="G24" s="91"/>
      <c r="H24" s="93"/>
      <c r="I24" s="42"/>
      <c r="J24" s="43"/>
      <c r="K24" s="90"/>
      <c r="L24" s="90"/>
      <c r="M24" s="90"/>
      <c r="N24" s="90"/>
      <c r="O24" s="90"/>
      <c r="P24" s="13"/>
      <c r="Q24" s="13"/>
      <c r="R24" s="44"/>
      <c r="T24" s="4" t="str">
        <f>IF(C31="","",IF(C31&lt;=S21,"Enkel basis budget",""))</f>
        <v/>
      </c>
    </row>
    <row r="25" spans="1:22" s="177" customFormat="1" ht="12.75" x14ac:dyDescent="0.2">
      <c r="A25" s="171"/>
      <c r="B25" s="171"/>
      <c r="C25" s="171"/>
      <c r="D25" s="168"/>
      <c r="E25" s="168"/>
      <c r="F25" s="172" t="s">
        <v>26</v>
      </c>
      <c r="G25" s="173"/>
      <c r="H25" s="174">
        <f>IF(H23=0,"",LEFT(H23,2)/40)</f>
        <v>0.85</v>
      </c>
      <c r="I25" s="171"/>
      <c r="J25" s="175"/>
      <c r="K25" s="140"/>
      <c r="L25" s="140"/>
      <c r="M25" s="140"/>
      <c r="N25" s="140"/>
      <c r="O25" s="140"/>
      <c r="P25" s="176"/>
      <c r="Q25" s="176"/>
    </row>
    <row r="26" spans="1:22" s="46" customFormat="1" ht="12.75" x14ac:dyDescent="0.2">
      <c r="A26" s="8"/>
      <c r="B26" s="8"/>
      <c r="C26" s="8"/>
      <c r="D26" s="2"/>
      <c r="E26" s="2"/>
      <c r="F26" s="8"/>
      <c r="G26" s="8"/>
      <c r="H26" s="8"/>
      <c r="I26" s="8"/>
      <c r="J26" s="37"/>
      <c r="K26" s="8"/>
      <c r="L26" s="8"/>
      <c r="M26" s="8"/>
      <c r="N26" s="8"/>
      <c r="O26" s="8"/>
      <c r="P26" s="45"/>
      <c r="Q26" s="45"/>
    </row>
    <row r="27" spans="1:22" ht="12.75" x14ac:dyDescent="0.2">
      <c r="A27" s="8" t="s">
        <v>27</v>
      </c>
      <c r="B27" s="8"/>
      <c r="C27" s="8"/>
      <c r="D27" s="2"/>
      <c r="E27" s="2"/>
      <c r="F27" s="8"/>
      <c r="G27" s="8"/>
      <c r="H27" s="8"/>
      <c r="I27" s="8"/>
      <c r="J27" s="37"/>
      <c r="K27" s="101" t="s">
        <v>104</v>
      </c>
      <c r="L27" s="101"/>
      <c r="M27" s="101"/>
      <c r="N27" s="101"/>
      <c r="O27" s="101"/>
      <c r="S27" s="4" t="s">
        <v>28</v>
      </c>
    </row>
    <row r="28" spans="1:22" ht="12.75" x14ac:dyDescent="0.2">
      <c r="A28" s="2" t="s">
        <v>98</v>
      </c>
      <c r="B28" s="8"/>
      <c r="C28" s="109"/>
      <c r="D28" s="109"/>
      <c r="E28" s="2"/>
      <c r="F28" s="8"/>
      <c r="G28" s="8"/>
      <c r="H28" s="8"/>
      <c r="I28" s="8"/>
      <c r="J28" s="37"/>
      <c r="K28" s="101"/>
      <c r="L28" s="101"/>
      <c r="M28" s="101"/>
      <c r="N28" s="101"/>
      <c r="O28" s="101"/>
    </row>
    <row r="29" spans="1:22" ht="12.75" x14ac:dyDescent="0.2">
      <c r="A29" s="2" t="s">
        <v>29</v>
      </c>
      <c r="B29" s="8"/>
      <c r="C29" s="109" t="s">
        <v>99</v>
      </c>
      <c r="D29" s="109"/>
      <c r="E29" s="2"/>
      <c r="F29" s="2" t="str">
        <f>IF(C29="ja","Aantal lesuren verlof per jaar","")</f>
        <v/>
      </c>
      <c r="G29" s="2"/>
      <c r="H29" s="47"/>
      <c r="I29" s="8"/>
      <c r="J29" s="37"/>
      <c r="K29" s="101"/>
      <c r="L29" s="101"/>
      <c r="M29" s="101"/>
      <c r="N29" s="101"/>
      <c r="O29" s="101"/>
      <c r="S29" s="4" t="s">
        <v>30</v>
      </c>
    </row>
    <row r="30" spans="1:22" ht="12.75" x14ac:dyDescent="0.2">
      <c r="A30" s="2" t="s">
        <v>31</v>
      </c>
      <c r="B30" s="8"/>
      <c r="C30" s="110"/>
      <c r="D30" s="111"/>
      <c r="E30" s="2"/>
      <c r="F30" s="2" t="str">
        <f>IF(C30="Ja","Werktijdfactor verlof","")</f>
        <v/>
      </c>
      <c r="G30" s="2"/>
      <c r="H30" s="47"/>
      <c r="I30" s="8"/>
      <c r="J30" s="37"/>
      <c r="K30" s="49"/>
      <c r="L30" s="49"/>
      <c r="M30" s="49"/>
      <c r="N30" s="49"/>
      <c r="O30" s="49"/>
    </row>
    <row r="31" spans="1:22" ht="13.15" customHeight="1" x14ac:dyDescent="0.2">
      <c r="A31" s="178" t="s">
        <v>32</v>
      </c>
      <c r="B31" s="179"/>
      <c r="C31" s="112"/>
      <c r="D31" s="112"/>
      <c r="E31" s="178"/>
      <c r="F31" s="180" t="str">
        <f>IF(C33&gt;0,"Verdeling uren PDI",IF(H30&gt;0,"Verdeling uren ouderschapsverlof",""))</f>
        <v/>
      </c>
      <c r="G31" s="180"/>
      <c r="H31" s="180"/>
      <c r="I31" s="179"/>
      <c r="J31" s="181"/>
      <c r="K31" s="182" t="s">
        <v>95</v>
      </c>
      <c r="L31" s="182"/>
      <c r="M31" s="182"/>
      <c r="N31" s="182"/>
      <c r="O31" s="182"/>
      <c r="P31" s="8"/>
      <c r="Q31" s="8"/>
      <c r="R31" s="4">
        <f>2014-1958</f>
        <v>56</v>
      </c>
      <c r="S31" s="4" t="s">
        <v>33</v>
      </c>
    </row>
    <row r="32" spans="1:22" ht="12.75" x14ac:dyDescent="0.2">
      <c r="A32" s="178" t="str">
        <f>IF(C31="","",IF($C$31&lt;$S$21,"Recht PDI",IF($C$31&lt;=$T$21,"Recht PDI","")))</f>
        <v/>
      </c>
      <c r="B32" s="179"/>
      <c r="C32" s="183"/>
      <c r="D32" s="183"/>
      <c r="E32" s="178"/>
      <c r="F32" s="184" t="str">
        <f>IF(OR(C33&gt;0,H30&gt;0),"Lesuren","")</f>
        <v/>
      </c>
      <c r="G32" s="184" t="str">
        <f>IF(OR(C33&gt;0,H30&gt;0),"v/n-werk","")</f>
        <v/>
      </c>
      <c r="H32" s="184" t="str">
        <f>IF(OR(C33&gt;0,H30&gt;0),"Taakuren","")</f>
        <v/>
      </c>
      <c r="I32" s="179"/>
      <c r="J32" s="185"/>
      <c r="K32" s="182"/>
      <c r="L32" s="182"/>
      <c r="M32" s="182"/>
      <c r="N32" s="182"/>
      <c r="O32" s="182"/>
      <c r="P32" s="8"/>
      <c r="Q32" s="8"/>
      <c r="S32" s="4" t="s">
        <v>34</v>
      </c>
      <c r="U32" s="53">
        <f>H30*1659</f>
        <v>0</v>
      </c>
      <c r="V32" s="53"/>
    </row>
    <row r="33" spans="1:22" ht="12.75" x14ac:dyDescent="0.2">
      <c r="A33" s="178" t="str">
        <f>IF(C32="","",IF(C32="Overgangsregeling 52+","Aantal uur verlof",IF(C32="Overgangsregeling 56+","Aantal uur verlof",IF(C32="Basis en bijzonder budget","Aantal uur verlof",""))))</f>
        <v/>
      </c>
      <c r="B33" s="179"/>
      <c r="C33" s="186"/>
      <c r="D33" s="187" t="str">
        <f>IF(C32="Overgangsregeling 56+","Tussen "&amp;ROUND(170*LEFT(H23,2)/40,0)&amp;" en "&amp;ROUND(340*LEFT(H23,2)/40,0),IF(C32="Overgangsregeling 52+","Tussen 0 en "&amp;ROUND(170*LEFT(H23,2)/40,0),IF(C32="Basis en bijzonder budget","Tussen 0 en "&amp;ROUND(170*LEFT(H23,2)/40,0),"")))</f>
        <v/>
      </c>
      <c r="E33" s="187"/>
      <c r="F33" s="184" t="str">
        <f>IFERROR(ROUND(IF(C33&gt;0,U53,IF(H30&gt;0,U33*U32,"")),0),"")</f>
        <v/>
      </c>
      <c r="G33" s="184" t="str">
        <f>IFERROR(ROUND(IF(C33&gt;0,U54,IF(H30&gt;0,U34*U32,"")),0),"")</f>
        <v/>
      </c>
      <c r="H33" s="184" t="str">
        <f>IFERROR(ROUND(IF(C33&gt;0,U55,IF(H30&gt;0,U37*U32,"")),0),"")</f>
        <v/>
      </c>
      <c r="I33" s="179"/>
      <c r="J33" s="185"/>
      <c r="K33" s="182"/>
      <c r="L33" s="182"/>
      <c r="M33" s="182"/>
      <c r="N33" s="182"/>
      <c r="O33" s="182"/>
      <c r="P33" s="8"/>
      <c r="Q33" s="8"/>
      <c r="S33" s="55">
        <f>ROUND(IF(AND(D19*C9+D23-H29&gt;940,D19*C9+D23-H29&lt;945),940,D19*C9+D23-H29),0)</f>
        <v>798</v>
      </c>
      <c r="T33" s="53"/>
      <c r="U33" s="56">
        <f>S33/SUM($S$33:$S$37)</f>
        <v>0.56595744680851068</v>
      </c>
      <c r="V33" s="53">
        <f>U33*$U$32</f>
        <v>0</v>
      </c>
    </row>
    <row r="34" spans="1:22" ht="12.75" x14ac:dyDescent="0.2">
      <c r="A34" s="168"/>
      <c r="B34" s="171"/>
      <c r="C34" s="171"/>
      <c r="D34" s="188" t="str">
        <f>IF(H30&gt;0,"Professionalisering","")</f>
        <v/>
      </c>
      <c r="E34" s="168"/>
      <c r="F34" s="189" t="str">
        <f>IFERROR(ROUND(IF(H30&gt;0,U35*U32,""),0),"")</f>
        <v/>
      </c>
      <c r="G34" s="190" t="str">
        <f>IF(H30&gt;0,"Duurz. inzetb.","")</f>
        <v/>
      </c>
      <c r="H34" s="189" t="str">
        <f>IFERROR(ROUND(IF(H30&gt;0,U36*U32,""),0),"")</f>
        <v/>
      </c>
      <c r="I34" s="171"/>
      <c r="J34" s="191"/>
      <c r="K34" s="192"/>
      <c r="L34" s="192"/>
      <c r="M34" s="192"/>
      <c r="N34" s="192"/>
      <c r="O34" s="192"/>
      <c r="P34" s="8"/>
      <c r="Q34" s="8"/>
      <c r="S34" s="53">
        <f>ROUND(S53*G9,0)</f>
        <v>319</v>
      </c>
      <c r="T34" s="55">
        <f>S33+S34</f>
        <v>1117</v>
      </c>
      <c r="U34" s="56">
        <f t="shared" ref="U34:U37" si="0">S34/SUM($S$33:$S$37)</f>
        <v>0.22624113475177304</v>
      </c>
      <c r="V34" s="53">
        <f t="shared" ref="V34:V37" si="1">U34*$U$32</f>
        <v>0</v>
      </c>
    </row>
    <row r="35" spans="1:22" ht="12.75" x14ac:dyDescent="0.2">
      <c r="A35" s="2"/>
      <c r="B35" s="8"/>
      <c r="C35" s="8"/>
      <c r="D35" s="2"/>
      <c r="E35" s="2"/>
      <c r="F35" s="8"/>
      <c r="G35" s="8"/>
      <c r="H35" s="54"/>
      <c r="I35" s="54"/>
      <c r="J35" s="52"/>
      <c r="K35" s="57"/>
      <c r="L35" s="57"/>
      <c r="M35" s="57"/>
      <c r="N35" s="57"/>
      <c r="O35" s="57"/>
      <c r="P35" s="8"/>
      <c r="Q35" s="8"/>
      <c r="S35" s="55">
        <f>ROUND(LEFT(H23,2)/40*2*41.475,0)</f>
        <v>71</v>
      </c>
      <c r="T35" s="53"/>
      <c r="U35" s="56">
        <f t="shared" si="0"/>
        <v>5.0354609929078017E-2</v>
      </c>
      <c r="V35" s="53">
        <f t="shared" si="1"/>
        <v>0</v>
      </c>
    </row>
    <row r="36" spans="1:22" ht="12.75" x14ac:dyDescent="0.2">
      <c r="A36" s="8" t="s">
        <v>35</v>
      </c>
      <c r="B36" s="8"/>
      <c r="C36" s="8"/>
      <c r="D36" s="2"/>
      <c r="E36" s="2"/>
      <c r="F36" s="8"/>
      <c r="G36" s="8"/>
      <c r="H36" s="8"/>
      <c r="I36" s="8"/>
      <c r="J36" s="37"/>
      <c r="K36" s="8"/>
      <c r="L36" s="8"/>
      <c r="M36" s="8"/>
      <c r="N36" s="8"/>
      <c r="O36" s="8"/>
      <c r="P36" s="8"/>
      <c r="Q36" s="8"/>
      <c r="S36" s="55">
        <f>ROUND(IF(A33="",ROUND(LEFT(H23,2)/40*40,0),ROUND(VLOOKUP(C32,$S$46:$T$50,2,FALSE)*LEFT(H23,2)/40,0))-C33,0)</f>
        <v>34</v>
      </c>
      <c r="T36" s="53"/>
      <c r="U36" s="56">
        <f t="shared" si="0"/>
        <v>2.4113475177304965E-2</v>
      </c>
      <c r="V36" s="53">
        <f t="shared" si="1"/>
        <v>0</v>
      </c>
    </row>
    <row r="37" spans="1:22" ht="12.75" x14ac:dyDescent="0.2">
      <c r="A37" s="51" t="s">
        <v>36</v>
      </c>
      <c r="B37" s="8"/>
      <c r="C37" s="58"/>
      <c r="D37" s="2"/>
      <c r="E37" s="2"/>
      <c r="F37" s="8"/>
      <c r="G37" s="8"/>
      <c r="H37" s="8"/>
      <c r="I37" s="8"/>
      <c r="J37" s="37"/>
      <c r="K37" s="101" t="s">
        <v>37</v>
      </c>
      <c r="L37" s="101"/>
      <c r="M37" s="101"/>
      <c r="N37" s="101"/>
      <c r="O37" s="101"/>
      <c r="P37" s="8"/>
      <c r="Q37" s="8"/>
      <c r="S37" s="53">
        <f>IFERROR(ROUND(S55,0),0)</f>
        <v>188</v>
      </c>
      <c r="T37" s="53"/>
      <c r="U37" s="56">
        <f t="shared" si="0"/>
        <v>0.13333333333333333</v>
      </c>
      <c r="V37" s="53">
        <f t="shared" si="1"/>
        <v>0</v>
      </c>
    </row>
    <row r="38" spans="1:22" ht="12.75" x14ac:dyDescent="0.2">
      <c r="A38" s="51" t="s">
        <v>38</v>
      </c>
      <c r="B38" s="8"/>
      <c r="C38" s="58"/>
      <c r="D38" s="2"/>
      <c r="E38" s="2"/>
      <c r="F38" s="8"/>
      <c r="G38" s="8"/>
      <c r="H38" s="8"/>
      <c r="I38" s="8"/>
      <c r="J38" s="37"/>
      <c r="K38" s="101"/>
      <c r="L38" s="101"/>
      <c r="M38" s="101"/>
      <c r="N38" s="101"/>
      <c r="O38" s="101"/>
      <c r="P38" s="8"/>
      <c r="Q38" s="8"/>
      <c r="S38" s="53"/>
      <c r="T38" s="53"/>
      <c r="U38" s="53"/>
      <c r="V38" s="53"/>
    </row>
    <row r="39" spans="1:22" ht="12.75" x14ac:dyDescent="0.2">
      <c r="A39" s="51" t="s">
        <v>39</v>
      </c>
      <c r="B39" s="8"/>
      <c r="C39" s="58"/>
      <c r="D39" s="2"/>
      <c r="E39" s="2"/>
      <c r="F39" s="8"/>
      <c r="G39" s="8"/>
      <c r="H39" s="8"/>
      <c r="I39" s="8"/>
      <c r="J39" s="37"/>
      <c r="K39" s="101"/>
      <c r="L39" s="101"/>
      <c r="M39" s="101"/>
      <c r="N39" s="101"/>
      <c r="O39" s="101"/>
      <c r="P39" s="8"/>
      <c r="Q39" s="8"/>
    </row>
    <row r="40" spans="1:22" ht="12.75" x14ac:dyDescent="0.2">
      <c r="A40" s="51" t="s">
        <v>40</v>
      </c>
      <c r="B40" s="8"/>
      <c r="C40" s="58"/>
      <c r="D40" s="2"/>
      <c r="E40" s="2"/>
      <c r="F40" s="8"/>
      <c r="G40" s="8"/>
      <c r="H40" s="8"/>
      <c r="I40" s="8"/>
      <c r="J40" s="37"/>
      <c r="K40" s="101"/>
      <c r="L40" s="101"/>
      <c r="M40" s="101"/>
      <c r="N40" s="101"/>
      <c r="O40" s="101"/>
      <c r="P40" s="8"/>
      <c r="Q40" s="8"/>
    </row>
    <row r="41" spans="1:22" ht="12.75" x14ac:dyDescent="0.2">
      <c r="A41" s="8" t="s">
        <v>20</v>
      </c>
      <c r="B41" s="8"/>
      <c r="C41" s="59">
        <f>SUM(C37:C40)</f>
        <v>0</v>
      </c>
      <c r="D41" s="2"/>
      <c r="E41" s="2"/>
      <c r="F41" s="8"/>
      <c r="G41" s="8"/>
      <c r="H41" s="8"/>
      <c r="I41" s="8"/>
      <c r="J41" s="37"/>
      <c r="K41" s="8"/>
      <c r="L41" s="8"/>
      <c r="M41" s="8"/>
      <c r="N41" s="8"/>
      <c r="O41" s="8"/>
      <c r="P41" s="8"/>
      <c r="Q41" s="8"/>
    </row>
    <row r="42" spans="1:22" ht="12.75" x14ac:dyDescent="0.2">
      <c r="A42" s="168"/>
      <c r="B42" s="171"/>
      <c r="C42" s="171"/>
      <c r="D42" s="168"/>
      <c r="E42" s="168"/>
      <c r="F42" s="171"/>
      <c r="G42" s="171"/>
      <c r="H42" s="171"/>
      <c r="I42" s="171"/>
      <c r="J42" s="175"/>
      <c r="K42" s="171"/>
      <c r="L42" s="171"/>
      <c r="M42" s="171"/>
      <c r="N42" s="171"/>
      <c r="O42" s="171"/>
      <c r="P42" s="8"/>
      <c r="Q42" s="8"/>
    </row>
    <row r="43" spans="1:22" ht="12.75" x14ac:dyDescent="0.2">
      <c r="A43" s="8"/>
      <c r="B43" s="8"/>
      <c r="C43" s="8"/>
      <c r="D43" s="2"/>
      <c r="E43" s="2"/>
      <c r="F43" s="8"/>
      <c r="G43" s="8"/>
      <c r="H43" s="14"/>
      <c r="I43" s="14"/>
      <c r="J43" s="61"/>
      <c r="K43" s="37"/>
      <c r="L43" s="37"/>
      <c r="M43" s="37"/>
      <c r="N43" s="37"/>
      <c r="O43" s="61"/>
    </row>
    <row r="44" spans="1:22" ht="12.75" x14ac:dyDescent="0.2">
      <c r="A44" s="14" t="s">
        <v>41</v>
      </c>
      <c r="B44" s="8"/>
      <c r="C44" s="8"/>
      <c r="D44" s="2"/>
      <c r="E44" s="2"/>
      <c r="F44" s="8"/>
      <c r="G44" s="8"/>
      <c r="H44" s="14"/>
      <c r="I44" s="14"/>
      <c r="J44" s="61"/>
      <c r="K44" s="3"/>
      <c r="L44" s="3"/>
      <c r="M44" s="3"/>
      <c r="N44" s="3"/>
      <c r="O44" s="3"/>
      <c r="Q44" s="62">
        <f>C50+F158+C158</f>
        <v>1410</v>
      </c>
    </row>
    <row r="45" spans="1:22" ht="12.75" x14ac:dyDescent="0.2">
      <c r="A45" s="14"/>
      <c r="B45" s="8"/>
      <c r="C45" s="8"/>
      <c r="D45" s="2"/>
      <c r="E45" s="2"/>
      <c r="F45" s="8"/>
      <c r="G45" s="14"/>
      <c r="H45" s="14"/>
      <c r="I45" s="14"/>
      <c r="J45" s="61"/>
      <c r="K45" s="3"/>
      <c r="L45" s="3"/>
      <c r="M45" s="3"/>
      <c r="N45" s="3"/>
      <c r="O45" s="3"/>
    </row>
    <row r="46" spans="1:22" ht="12.75" x14ac:dyDescent="0.2">
      <c r="A46" s="14" t="s">
        <v>42</v>
      </c>
      <c r="B46" s="2"/>
      <c r="C46" s="8"/>
      <c r="D46" s="2"/>
      <c r="F46" s="63" t="s">
        <v>43</v>
      </c>
      <c r="G46" s="8"/>
      <c r="H46" s="14"/>
      <c r="I46" s="14"/>
      <c r="J46" s="61"/>
      <c r="K46" s="3"/>
      <c r="L46" s="3"/>
      <c r="M46" s="3"/>
      <c r="N46" s="3"/>
      <c r="O46" s="3"/>
      <c r="S46" s="4" t="s">
        <v>44</v>
      </c>
      <c r="T46" s="4">
        <f>130+123</f>
        <v>253</v>
      </c>
      <c r="V46" s="4">
        <f>1659/40*41</f>
        <v>1700.4750000000001</v>
      </c>
    </row>
    <row r="47" spans="1:22" ht="12.75" x14ac:dyDescent="0.2">
      <c r="A47" s="2" t="s">
        <v>45</v>
      </c>
      <c r="C47" s="64">
        <f>IFERROR(ROUND(IF(H30&gt;0,S53-V33,S53-H49/SUM(S53:S55)*S53),0),0)</f>
        <v>798</v>
      </c>
      <c r="D47" s="65"/>
      <c r="E47" s="65"/>
      <c r="F47" s="107" t="str">
        <f>IF(C28="Ja","PDI incl. uren startende werknemer","Professionalisering en duurzame inzetbaarheid")</f>
        <v>Professionalisering en duurzame inzetbaarheid</v>
      </c>
      <c r="G47" s="107"/>
      <c r="H47" s="108">
        <f>IFERROR(ROUND(IF(A33="",ROUND(LEFT(H23,2)/40*IF(C28="Ja",163,123),0),ROUND(VLOOKUP(C32,$S$46:$T$50,2,FALSE)*LEFT(H23,2)/40,0))-C33-V36,0),0)</f>
        <v>105</v>
      </c>
      <c r="I47" s="62"/>
      <c r="J47" s="66"/>
      <c r="K47" s="3"/>
      <c r="L47" s="3"/>
      <c r="M47" s="3"/>
      <c r="N47" s="3"/>
      <c r="O47" s="3"/>
      <c r="S47" s="4" t="s">
        <v>46</v>
      </c>
      <c r="T47" s="4">
        <f>340+123</f>
        <v>463</v>
      </c>
    </row>
    <row r="48" spans="1:22" ht="12.75" x14ac:dyDescent="0.2">
      <c r="A48" s="2" t="s">
        <v>47</v>
      </c>
      <c r="B48" s="2"/>
      <c r="C48" s="64">
        <f>IFERROR(ROUND(IF(H30&gt;0,S54-V34,S54-H49/SUM(S53:S55)*S54),0),0)</f>
        <v>319</v>
      </c>
      <c r="D48" s="64"/>
      <c r="E48" s="64"/>
      <c r="F48" s="107"/>
      <c r="G48" s="107"/>
      <c r="H48" s="108"/>
      <c r="I48" s="62"/>
      <c r="J48" s="66"/>
      <c r="K48" s="67"/>
      <c r="L48" s="67"/>
      <c r="M48" s="67"/>
      <c r="N48" s="67"/>
      <c r="O48" s="67"/>
      <c r="P48" s="68"/>
      <c r="Q48" s="68"/>
      <c r="S48" s="4" t="s">
        <v>48</v>
      </c>
      <c r="T48" s="4">
        <f>IF(C28="Ja",40+130+123,130+123)</f>
        <v>253</v>
      </c>
    </row>
    <row r="49" spans="1:22" ht="13.5" thickBot="1" x14ac:dyDescent="0.25">
      <c r="A49" s="2" t="s">
        <v>49</v>
      </c>
      <c r="B49" s="2"/>
      <c r="C49" s="69">
        <f>C41</f>
        <v>0</v>
      </c>
      <c r="D49" s="64"/>
      <c r="E49" s="64"/>
      <c r="F49" s="2" t="str">
        <f>IF(C33&gt;0,"Verlof PDI",IF(H30&gt;0,"Ouderschapsverlof",""))</f>
        <v/>
      </c>
      <c r="G49" s="2"/>
      <c r="H49" s="62">
        <f>ROUND(IF(F49="",0,IF(C33&gt;0,C33,U32)),0)</f>
        <v>0</v>
      </c>
      <c r="J49" s="70"/>
      <c r="K49" s="67"/>
      <c r="L49" s="67"/>
      <c r="M49" s="67"/>
      <c r="N49" s="67"/>
      <c r="O49" s="67"/>
      <c r="P49" s="68"/>
      <c r="Q49" s="68"/>
    </row>
    <row r="50" spans="1:22" ht="13.5" thickBot="1" x14ac:dyDescent="0.25">
      <c r="A50" s="8" t="s">
        <v>50</v>
      </c>
      <c r="B50" s="8"/>
      <c r="C50" s="71">
        <f>SUM(C47:C49)</f>
        <v>1117</v>
      </c>
      <c r="D50" s="72"/>
      <c r="E50" s="72"/>
      <c r="F50" s="8" t="s">
        <v>20</v>
      </c>
      <c r="G50" s="14"/>
      <c r="H50" s="73">
        <f>SUM(H47:H49)</f>
        <v>105</v>
      </c>
      <c r="I50" s="74"/>
      <c r="K50" s="3"/>
      <c r="L50" s="3"/>
      <c r="M50" s="3"/>
      <c r="N50" s="3"/>
      <c r="O50" s="3"/>
      <c r="S50" s="4" t="s">
        <v>51</v>
      </c>
      <c r="T50" s="4">
        <f>IF(C28="Ja",163,123)</f>
        <v>123</v>
      </c>
    </row>
    <row r="51" spans="1:22" ht="12.75" x14ac:dyDescent="0.2">
      <c r="A51" s="50"/>
      <c r="B51" s="8"/>
      <c r="C51" s="72"/>
      <c r="D51" s="8"/>
      <c r="E51" s="8"/>
      <c r="F51" s="14"/>
      <c r="G51" s="14"/>
      <c r="H51" s="2"/>
      <c r="K51" s="3"/>
      <c r="L51" s="3"/>
      <c r="M51" s="3"/>
      <c r="N51" s="3"/>
      <c r="O51" s="3"/>
    </row>
    <row r="52" spans="1:22" ht="12.75" x14ac:dyDescent="0.2">
      <c r="A52" s="14" t="s">
        <v>52</v>
      </c>
      <c r="C52" s="8"/>
      <c r="D52" s="72"/>
      <c r="E52" s="72"/>
      <c r="F52" s="102" t="str">
        <f>IF(C157&lt;0,"LET OP:","")</f>
        <v/>
      </c>
      <c r="G52" s="102"/>
      <c r="H52" s="2"/>
      <c r="K52" s="103" t="s">
        <v>53</v>
      </c>
      <c r="L52" s="103"/>
      <c r="M52" s="103"/>
      <c r="N52" s="103"/>
      <c r="O52" s="103"/>
    </row>
    <row r="53" spans="1:22" ht="12.75" x14ac:dyDescent="0.2">
      <c r="A53" s="51" t="s">
        <v>54</v>
      </c>
      <c r="B53" s="2"/>
      <c r="C53" s="75"/>
      <c r="D53" s="2"/>
      <c r="E53" s="2"/>
      <c r="F53" s="102"/>
      <c r="G53" s="102"/>
      <c r="H53" s="2"/>
      <c r="K53" s="103"/>
      <c r="L53" s="103"/>
      <c r="M53" s="103"/>
      <c r="N53" s="103"/>
      <c r="O53" s="103"/>
      <c r="S53" s="76">
        <f>ROUND(IF(AND(D19*C9+D23-H29&gt;940,D19*C9+D23-H29&lt;945),940,D19*C9+D23-H29),0)</f>
        <v>798</v>
      </c>
      <c r="U53" s="76">
        <f>S53-C47</f>
        <v>0</v>
      </c>
      <c r="V53" s="4">
        <f>S53/SUM($S$53:$S$55)</f>
        <v>0.61149425287356318</v>
      </c>
    </row>
    <row r="54" spans="1:22" ht="12.75" x14ac:dyDescent="0.2">
      <c r="A54" s="77" t="s">
        <v>55</v>
      </c>
      <c r="B54" s="2"/>
      <c r="C54" s="75"/>
      <c r="D54" s="72"/>
      <c r="E54" s="104" t="str">
        <f>IF(C157&lt;0,"De werktijdfactor is te laag om deze taken te kunnen vervullen. Vul in cel D24 extra uren in.","")</f>
        <v/>
      </c>
      <c r="F54" s="104"/>
      <c r="G54" s="104"/>
      <c r="H54" s="104"/>
      <c r="K54" s="103"/>
      <c r="L54" s="103"/>
      <c r="M54" s="103"/>
      <c r="N54" s="103"/>
      <c r="O54" s="103"/>
      <c r="S54" s="4">
        <f>ROUND(S53*G9,0)</f>
        <v>319</v>
      </c>
      <c r="T54" s="76">
        <f>S53+S54</f>
        <v>1117</v>
      </c>
      <c r="U54" s="76">
        <f>S54-C48</f>
        <v>0</v>
      </c>
      <c r="V54" s="4">
        <f t="shared" ref="V54:V55" si="2">S54/SUM($S$53:$S$55)</f>
        <v>0.24444444444444444</v>
      </c>
    </row>
    <row r="55" spans="1:22" ht="12.75" x14ac:dyDescent="0.2">
      <c r="A55" s="77" t="s">
        <v>56</v>
      </c>
      <c r="B55" s="2"/>
      <c r="C55" s="75"/>
      <c r="D55" s="72"/>
      <c r="E55" s="104"/>
      <c r="F55" s="104"/>
      <c r="G55" s="104"/>
      <c r="H55" s="104"/>
      <c r="K55" s="103"/>
      <c r="L55" s="103"/>
      <c r="M55" s="103"/>
      <c r="N55" s="103"/>
      <c r="O55" s="103"/>
      <c r="S55" s="4">
        <f>ROUND(1659*(LEFT(H23,2)/40)-T54-ROUND(IF(A33="",ROUND(LEFT(H23,2)/40*IF(C28="Ja",163,123),0),ROUND(VLOOKUP(C32,$S$46:$T$50,2,FALSE)*LEFT(H23,2)/40,0))-C33,0)-C41,0)</f>
        <v>188</v>
      </c>
      <c r="U55" s="76">
        <f>+S55-C158</f>
        <v>0</v>
      </c>
      <c r="V55" s="4">
        <f t="shared" si="2"/>
        <v>0.14406130268199233</v>
      </c>
    </row>
    <row r="56" spans="1:22" ht="12.75" customHeight="1" x14ac:dyDescent="0.2">
      <c r="A56" s="77" t="s">
        <v>57</v>
      </c>
      <c r="B56" s="2"/>
      <c r="C56" s="75"/>
      <c r="D56" s="78"/>
      <c r="E56" s="105" t="s">
        <v>97</v>
      </c>
      <c r="F56" s="106"/>
      <c r="G56" s="106"/>
      <c r="H56" s="106"/>
      <c r="I56" s="79"/>
      <c r="J56" s="80"/>
      <c r="K56" s="103"/>
      <c r="L56" s="103"/>
      <c r="M56" s="103"/>
      <c r="N56" s="103"/>
      <c r="O56" s="103"/>
    </row>
    <row r="57" spans="1:22" ht="12.75" x14ac:dyDescent="0.2">
      <c r="A57" s="77" t="s">
        <v>58</v>
      </c>
      <c r="B57" s="2"/>
      <c r="C57" s="75"/>
      <c r="D57" s="72"/>
      <c r="E57" s="81" t="s">
        <v>56</v>
      </c>
      <c r="F57" s="118"/>
      <c r="G57" s="118"/>
      <c r="H57" s="118"/>
      <c r="I57" s="79"/>
      <c r="J57" s="80"/>
      <c r="K57" s="3"/>
      <c r="L57" s="3"/>
      <c r="M57" s="3"/>
      <c r="N57" s="3"/>
      <c r="O57" s="3"/>
    </row>
    <row r="58" spans="1:22" ht="12.75" x14ac:dyDescent="0.2">
      <c r="A58" s="77" t="s">
        <v>58</v>
      </c>
      <c r="B58" s="2"/>
      <c r="C58" s="75"/>
      <c r="D58" s="72"/>
      <c r="E58" s="81" t="s">
        <v>60</v>
      </c>
      <c r="F58" s="116"/>
      <c r="G58" s="116"/>
      <c r="H58" s="116"/>
      <c r="I58" s="79"/>
      <c r="J58" s="80"/>
      <c r="K58" s="3"/>
      <c r="L58" s="3"/>
      <c r="M58" s="3"/>
      <c r="N58" s="3"/>
      <c r="O58" s="3"/>
      <c r="S58" s="4">
        <f>1452/1659</f>
        <v>0.87522603978300184</v>
      </c>
    </row>
    <row r="59" spans="1:22" ht="12.75" x14ac:dyDescent="0.2">
      <c r="A59" s="77" t="s">
        <v>58</v>
      </c>
      <c r="B59" s="2"/>
      <c r="C59" s="75"/>
      <c r="D59" s="72"/>
      <c r="E59" s="81" t="s">
        <v>59</v>
      </c>
      <c r="F59" s="116"/>
      <c r="G59" s="116"/>
      <c r="H59" s="116"/>
      <c r="I59" s="79"/>
      <c r="J59" s="80"/>
      <c r="K59" s="3"/>
      <c r="L59" s="3"/>
      <c r="M59" s="3"/>
      <c r="N59" s="3"/>
      <c r="O59" s="3"/>
      <c r="S59" s="4">
        <f>35/40</f>
        <v>0.875</v>
      </c>
    </row>
    <row r="60" spans="1:22" ht="12.75" x14ac:dyDescent="0.2">
      <c r="A60" s="77" t="s">
        <v>58</v>
      </c>
      <c r="B60" s="2"/>
      <c r="C60" s="75"/>
      <c r="D60" s="72"/>
      <c r="E60" s="82" t="s">
        <v>61</v>
      </c>
      <c r="F60" s="116"/>
      <c r="G60" s="116"/>
      <c r="H60" s="116"/>
      <c r="I60" s="83"/>
      <c r="J60" s="84"/>
      <c r="K60" s="3"/>
      <c r="L60" s="3"/>
      <c r="M60" s="3"/>
      <c r="N60" s="3"/>
      <c r="O60" s="3"/>
      <c r="S60" s="4">
        <v>0</v>
      </c>
      <c r="U60" s="76">
        <f>1659/40*LEFT(H23,2)</f>
        <v>1410.15</v>
      </c>
    </row>
    <row r="61" spans="1:22" ht="12.75" x14ac:dyDescent="0.2">
      <c r="A61" s="77" t="s">
        <v>58</v>
      </c>
      <c r="B61" s="2"/>
      <c r="C61" s="75"/>
      <c r="D61" s="72"/>
      <c r="E61" s="82" t="s">
        <v>62</v>
      </c>
      <c r="F61" s="116"/>
      <c r="G61" s="116"/>
      <c r="H61" s="116"/>
      <c r="I61" s="83"/>
      <c r="J61" s="84"/>
      <c r="K61" s="3"/>
      <c r="L61" s="3"/>
      <c r="M61" s="3"/>
      <c r="N61" s="3"/>
      <c r="O61" s="3"/>
    </row>
    <row r="62" spans="1:22" ht="12.75" x14ac:dyDescent="0.2">
      <c r="A62" s="77" t="s">
        <v>58</v>
      </c>
      <c r="B62" s="2"/>
      <c r="C62" s="75"/>
      <c r="D62" s="72"/>
      <c r="E62" s="82" t="s">
        <v>58</v>
      </c>
      <c r="F62" s="116"/>
      <c r="G62" s="116"/>
      <c r="H62" s="116"/>
      <c r="I62" s="83"/>
      <c r="J62" s="84"/>
      <c r="K62" s="3"/>
      <c r="L62" s="3"/>
      <c r="M62" s="3"/>
      <c r="N62" s="3"/>
      <c r="O62" s="3"/>
    </row>
    <row r="63" spans="1:22" ht="12.75" x14ac:dyDescent="0.2">
      <c r="A63" s="77" t="s">
        <v>58</v>
      </c>
      <c r="B63" s="2"/>
      <c r="C63" s="75"/>
      <c r="D63" s="72"/>
      <c r="E63" s="82" t="s">
        <v>58</v>
      </c>
      <c r="F63" s="116"/>
      <c r="G63" s="116"/>
      <c r="H63" s="116"/>
      <c r="I63" s="83"/>
      <c r="J63" s="84"/>
      <c r="K63" s="3"/>
      <c r="L63" s="3"/>
      <c r="M63" s="3"/>
      <c r="N63" s="3"/>
      <c r="O63" s="3"/>
    </row>
    <row r="64" spans="1:22" ht="12.75" x14ac:dyDescent="0.2">
      <c r="A64" s="77" t="s">
        <v>58</v>
      </c>
      <c r="B64" s="2"/>
      <c r="C64" s="75"/>
      <c r="D64" s="72"/>
      <c r="E64" s="82" t="s">
        <v>58</v>
      </c>
      <c r="F64" s="116"/>
      <c r="G64" s="116"/>
      <c r="H64" s="116"/>
      <c r="I64" s="83"/>
      <c r="J64" s="84"/>
      <c r="K64" s="3"/>
      <c r="L64" s="3"/>
      <c r="M64" s="3"/>
      <c r="N64" s="3"/>
      <c r="O64" s="3"/>
    </row>
    <row r="65" spans="1:15" ht="12.75" x14ac:dyDescent="0.2">
      <c r="A65" s="77" t="s">
        <v>58</v>
      </c>
      <c r="B65" s="2"/>
      <c r="C65" s="75"/>
      <c r="D65" s="72"/>
      <c r="E65" s="82" t="s">
        <v>58</v>
      </c>
      <c r="F65" s="116"/>
      <c r="G65" s="116"/>
      <c r="H65" s="116"/>
      <c r="I65" s="83"/>
      <c r="J65" s="84"/>
      <c r="K65" s="3"/>
      <c r="L65" s="3"/>
      <c r="M65" s="3"/>
      <c r="N65" s="3"/>
      <c r="O65" s="3"/>
    </row>
    <row r="66" spans="1:15" ht="12.75" hidden="1" x14ac:dyDescent="0.2">
      <c r="A66" s="77" t="s">
        <v>58</v>
      </c>
      <c r="B66" s="2"/>
      <c r="C66" s="85"/>
      <c r="D66" s="72"/>
      <c r="E66" s="82" t="s">
        <v>58</v>
      </c>
      <c r="F66" s="117"/>
      <c r="G66" s="117"/>
      <c r="H66" s="117"/>
      <c r="I66" s="83"/>
      <c r="J66" s="84"/>
      <c r="K66" s="3"/>
      <c r="L66" s="3"/>
      <c r="M66" s="3"/>
      <c r="N66" s="3"/>
      <c r="O66" s="3"/>
    </row>
    <row r="67" spans="1:15" ht="12.75" hidden="1" x14ac:dyDescent="0.2">
      <c r="A67" s="77" t="s">
        <v>58</v>
      </c>
      <c r="B67" s="2"/>
      <c r="C67" s="85"/>
      <c r="D67" s="72"/>
      <c r="E67" s="82" t="s">
        <v>58</v>
      </c>
      <c r="F67" s="117"/>
      <c r="G67" s="117"/>
      <c r="H67" s="117"/>
      <c r="I67" s="83"/>
      <c r="J67" s="84"/>
      <c r="K67" s="3"/>
      <c r="L67" s="3"/>
      <c r="M67" s="3"/>
      <c r="N67" s="3"/>
      <c r="O67" s="3"/>
    </row>
    <row r="68" spans="1:15" ht="12.75" hidden="1" x14ac:dyDescent="0.2">
      <c r="A68" s="77" t="s">
        <v>58</v>
      </c>
      <c r="B68" s="2"/>
      <c r="C68" s="85"/>
      <c r="D68" s="72"/>
      <c r="E68" s="82" t="s">
        <v>58</v>
      </c>
      <c r="F68" s="117"/>
      <c r="G68" s="117"/>
      <c r="H68" s="117"/>
      <c r="I68" s="83"/>
      <c r="J68" s="84"/>
      <c r="K68" s="3"/>
      <c r="L68" s="3"/>
      <c r="M68" s="3"/>
      <c r="N68" s="3"/>
      <c r="O68" s="3"/>
    </row>
    <row r="69" spans="1:15" ht="12.75" hidden="1" x14ac:dyDescent="0.2">
      <c r="A69" s="77" t="s">
        <v>58</v>
      </c>
      <c r="B69" s="2"/>
      <c r="C69" s="85"/>
      <c r="D69" s="72"/>
      <c r="E69" s="82" t="s">
        <v>58</v>
      </c>
      <c r="F69" s="117"/>
      <c r="G69" s="117"/>
      <c r="H69" s="117"/>
      <c r="I69" s="83"/>
      <c r="J69" s="84"/>
      <c r="K69" s="3"/>
      <c r="L69" s="3"/>
      <c r="M69" s="3"/>
      <c r="N69" s="3"/>
      <c r="O69" s="3"/>
    </row>
    <row r="70" spans="1:15" ht="12.75" hidden="1" x14ac:dyDescent="0.2">
      <c r="A70" s="77" t="s">
        <v>58</v>
      </c>
      <c r="B70" s="2"/>
      <c r="C70" s="85"/>
      <c r="D70" s="72"/>
      <c r="E70" s="82" t="s">
        <v>58</v>
      </c>
      <c r="F70" s="117"/>
      <c r="G70" s="117"/>
      <c r="H70" s="117"/>
      <c r="I70" s="83"/>
      <c r="J70" s="84"/>
      <c r="K70" s="3"/>
      <c r="L70" s="3"/>
      <c r="M70" s="3"/>
      <c r="N70" s="3"/>
      <c r="O70" s="3"/>
    </row>
    <row r="71" spans="1:15" ht="12.75" hidden="1" x14ac:dyDescent="0.2">
      <c r="A71" s="77" t="s">
        <v>58</v>
      </c>
      <c r="B71" s="2"/>
      <c r="C71" s="85"/>
      <c r="D71" s="72"/>
      <c r="E71" s="82" t="s">
        <v>58</v>
      </c>
      <c r="F71" s="117"/>
      <c r="G71" s="117"/>
      <c r="H71" s="117"/>
      <c r="I71" s="83"/>
      <c r="J71" s="84"/>
      <c r="K71" s="3"/>
      <c r="L71" s="3"/>
      <c r="M71" s="3"/>
      <c r="N71" s="3"/>
      <c r="O71" s="3"/>
    </row>
    <row r="72" spans="1:15" ht="12.75" hidden="1" x14ac:dyDescent="0.2">
      <c r="A72" s="77" t="s">
        <v>58</v>
      </c>
      <c r="B72" s="2"/>
      <c r="C72" s="85"/>
      <c r="D72" s="72"/>
      <c r="E72" s="82" t="s">
        <v>58</v>
      </c>
      <c r="F72" s="117"/>
      <c r="G72" s="117"/>
      <c r="H72" s="117"/>
      <c r="I72" s="83"/>
      <c r="J72" s="84"/>
      <c r="K72" s="3"/>
      <c r="L72" s="3"/>
      <c r="M72" s="3"/>
      <c r="N72" s="3"/>
      <c r="O72" s="3"/>
    </row>
    <row r="73" spans="1:15" ht="12.75" hidden="1" x14ac:dyDescent="0.2">
      <c r="A73" s="77" t="s">
        <v>58</v>
      </c>
      <c r="B73" s="2"/>
      <c r="C73" s="85"/>
      <c r="D73" s="72"/>
      <c r="E73" s="82" t="s">
        <v>58</v>
      </c>
      <c r="F73" s="117"/>
      <c r="G73" s="117"/>
      <c r="H73" s="117"/>
      <c r="I73" s="83"/>
      <c r="J73" s="84"/>
      <c r="K73" s="3"/>
      <c r="L73" s="3"/>
      <c r="M73" s="3"/>
      <c r="N73" s="3"/>
      <c r="O73" s="3"/>
    </row>
    <row r="74" spans="1:15" ht="12.75" hidden="1" x14ac:dyDescent="0.2">
      <c r="A74" s="77" t="s">
        <v>58</v>
      </c>
      <c r="B74" s="2"/>
      <c r="C74" s="85"/>
      <c r="D74" s="72"/>
      <c r="E74" s="82" t="s">
        <v>58</v>
      </c>
      <c r="F74" s="117"/>
      <c r="G74" s="117"/>
      <c r="H74" s="117"/>
      <c r="I74" s="83"/>
      <c r="J74" s="84"/>
      <c r="K74" s="3"/>
      <c r="L74" s="3"/>
      <c r="M74" s="3"/>
      <c r="N74" s="3"/>
      <c r="O74" s="3"/>
    </row>
    <row r="75" spans="1:15" ht="12.75" hidden="1" x14ac:dyDescent="0.2">
      <c r="A75" s="77" t="s">
        <v>58</v>
      </c>
      <c r="B75" s="2"/>
      <c r="C75" s="85"/>
      <c r="D75" s="72"/>
      <c r="E75" s="82" t="s">
        <v>58</v>
      </c>
      <c r="F75" s="117"/>
      <c r="G75" s="117"/>
      <c r="H75" s="117"/>
      <c r="I75" s="83"/>
      <c r="J75" s="84"/>
      <c r="K75" s="3"/>
      <c r="L75" s="3"/>
      <c r="M75" s="3"/>
      <c r="N75" s="3"/>
      <c r="O75" s="3"/>
    </row>
    <row r="76" spans="1:15" ht="12.75" hidden="1" x14ac:dyDescent="0.2">
      <c r="A76" s="77" t="s">
        <v>58</v>
      </c>
      <c r="B76" s="2"/>
      <c r="C76" s="85"/>
      <c r="D76" s="72"/>
      <c r="E76" s="82" t="s">
        <v>58</v>
      </c>
      <c r="F76" s="117"/>
      <c r="G76" s="117"/>
      <c r="H76" s="117"/>
      <c r="I76" s="83"/>
      <c r="J76" s="84"/>
      <c r="K76" s="3"/>
      <c r="L76" s="3"/>
      <c r="M76" s="3"/>
      <c r="N76" s="3"/>
      <c r="O76" s="3"/>
    </row>
    <row r="77" spans="1:15" ht="12.75" hidden="1" x14ac:dyDescent="0.2">
      <c r="A77" s="77" t="s">
        <v>58</v>
      </c>
      <c r="B77" s="2"/>
      <c r="C77" s="85"/>
      <c r="D77" s="72"/>
      <c r="E77" s="82" t="s">
        <v>58</v>
      </c>
      <c r="F77" s="117"/>
      <c r="G77" s="117"/>
      <c r="H77" s="117"/>
      <c r="I77" s="83"/>
      <c r="J77" s="84"/>
      <c r="K77" s="3"/>
      <c r="L77" s="3"/>
      <c r="M77" s="3"/>
      <c r="N77" s="3"/>
      <c r="O77" s="3"/>
    </row>
    <row r="78" spans="1:15" ht="12.75" hidden="1" x14ac:dyDescent="0.2">
      <c r="A78" s="77" t="s">
        <v>58</v>
      </c>
      <c r="B78" s="2"/>
      <c r="C78" s="85"/>
      <c r="D78" s="72"/>
      <c r="E78" s="82" t="s">
        <v>58</v>
      </c>
      <c r="F78" s="117"/>
      <c r="G78" s="117"/>
      <c r="H78" s="117"/>
      <c r="I78" s="83"/>
      <c r="J78" s="84"/>
      <c r="K78" s="3"/>
      <c r="L78" s="3"/>
      <c r="M78" s="3"/>
      <c r="N78" s="3"/>
      <c r="O78" s="3"/>
    </row>
    <row r="79" spans="1:15" ht="12.75" hidden="1" x14ac:dyDescent="0.2">
      <c r="A79" s="77" t="s">
        <v>58</v>
      </c>
      <c r="B79" s="2"/>
      <c r="C79" s="85"/>
      <c r="D79" s="72"/>
      <c r="E79" s="82" t="s">
        <v>58</v>
      </c>
      <c r="F79" s="117"/>
      <c r="G79" s="117"/>
      <c r="H79" s="117"/>
      <c r="I79" s="83"/>
      <c r="J79" s="84"/>
      <c r="K79" s="3"/>
      <c r="L79" s="3"/>
      <c r="M79" s="3"/>
      <c r="N79" s="3"/>
      <c r="O79" s="3"/>
    </row>
    <row r="80" spans="1:15" ht="12.75" hidden="1" x14ac:dyDescent="0.2">
      <c r="A80" s="77" t="s">
        <v>58</v>
      </c>
      <c r="B80" s="2"/>
      <c r="C80" s="85"/>
      <c r="D80" s="72"/>
      <c r="E80" s="82" t="s">
        <v>58</v>
      </c>
      <c r="F80" s="117"/>
      <c r="G80" s="117"/>
      <c r="H80" s="117"/>
      <c r="I80" s="83"/>
      <c r="J80" s="84"/>
      <c r="K80" s="3"/>
      <c r="L80" s="3"/>
      <c r="M80" s="3"/>
      <c r="N80" s="3"/>
      <c r="O80" s="3"/>
    </row>
    <row r="81" spans="1:15" ht="12.75" hidden="1" x14ac:dyDescent="0.2">
      <c r="A81" s="77" t="s">
        <v>58</v>
      </c>
      <c r="B81" s="2"/>
      <c r="C81" s="85"/>
      <c r="D81" s="72"/>
      <c r="E81" s="82" t="s">
        <v>58</v>
      </c>
      <c r="F81" s="117"/>
      <c r="G81" s="117"/>
      <c r="H81" s="117"/>
      <c r="I81" s="83"/>
      <c r="J81" s="84"/>
      <c r="K81" s="3"/>
      <c r="L81" s="3"/>
      <c r="M81" s="3"/>
      <c r="N81" s="3"/>
      <c r="O81" s="3"/>
    </row>
    <row r="82" spans="1:15" ht="12.75" hidden="1" x14ac:dyDescent="0.2">
      <c r="A82" s="77" t="s">
        <v>58</v>
      </c>
      <c r="B82" s="2"/>
      <c r="C82" s="85"/>
      <c r="D82" s="72"/>
      <c r="E82" s="82" t="s">
        <v>58</v>
      </c>
      <c r="F82" s="117"/>
      <c r="G82" s="117"/>
      <c r="H82" s="117"/>
      <c r="I82" s="83"/>
      <c r="J82" s="84"/>
      <c r="K82" s="3"/>
      <c r="L82" s="3"/>
      <c r="M82" s="3"/>
      <c r="N82" s="3"/>
      <c r="O82" s="3"/>
    </row>
    <row r="83" spans="1:15" ht="12.75" hidden="1" x14ac:dyDescent="0.2">
      <c r="A83" s="77" t="s">
        <v>58</v>
      </c>
      <c r="B83" s="2"/>
      <c r="C83" s="85"/>
      <c r="D83" s="72"/>
      <c r="E83" s="82" t="s">
        <v>58</v>
      </c>
      <c r="F83" s="117"/>
      <c r="G83" s="117"/>
      <c r="H83" s="117"/>
      <c r="I83" s="83"/>
      <c r="J83" s="84"/>
      <c r="K83" s="3"/>
      <c r="L83" s="3"/>
      <c r="M83" s="3"/>
      <c r="N83" s="3"/>
      <c r="O83" s="3"/>
    </row>
    <row r="84" spans="1:15" ht="12.75" hidden="1" x14ac:dyDescent="0.2">
      <c r="A84" s="77" t="s">
        <v>58</v>
      </c>
      <c r="B84" s="2"/>
      <c r="C84" s="85"/>
      <c r="D84" s="72"/>
      <c r="E84" s="82" t="s">
        <v>58</v>
      </c>
      <c r="F84" s="117"/>
      <c r="G84" s="117"/>
      <c r="H84" s="117"/>
      <c r="I84" s="83"/>
      <c r="J84" s="84"/>
      <c r="K84" s="3"/>
      <c r="L84" s="3"/>
      <c r="M84" s="3"/>
      <c r="N84" s="3"/>
      <c r="O84" s="3"/>
    </row>
    <row r="85" spans="1:15" ht="12.75" hidden="1" x14ac:dyDescent="0.2">
      <c r="A85" s="77" t="s">
        <v>58</v>
      </c>
      <c r="B85" s="2"/>
      <c r="C85" s="85"/>
      <c r="D85" s="72"/>
      <c r="E85" s="82" t="s">
        <v>58</v>
      </c>
      <c r="F85" s="117"/>
      <c r="G85" s="117"/>
      <c r="H85" s="117"/>
      <c r="I85" s="83"/>
      <c r="J85" s="84"/>
      <c r="K85" s="3"/>
      <c r="L85" s="3"/>
      <c r="M85" s="3"/>
      <c r="N85" s="3"/>
      <c r="O85" s="3"/>
    </row>
    <row r="86" spans="1:15" ht="12.75" hidden="1" x14ac:dyDescent="0.2">
      <c r="A86" s="77" t="s">
        <v>58</v>
      </c>
      <c r="B86" s="2"/>
      <c r="C86" s="85"/>
      <c r="D86" s="72"/>
      <c r="E86" s="82" t="s">
        <v>58</v>
      </c>
      <c r="F86" s="117"/>
      <c r="G86" s="117"/>
      <c r="H86" s="117"/>
      <c r="I86" s="83"/>
      <c r="J86" s="84"/>
      <c r="K86" s="3"/>
      <c r="L86" s="3"/>
      <c r="M86" s="3"/>
      <c r="N86" s="3"/>
      <c r="O86" s="3"/>
    </row>
    <row r="87" spans="1:15" ht="12.75" hidden="1" x14ac:dyDescent="0.2">
      <c r="A87" s="77" t="s">
        <v>58</v>
      </c>
      <c r="B87" s="2"/>
      <c r="C87" s="85"/>
      <c r="D87" s="72"/>
      <c r="E87" s="82" t="s">
        <v>58</v>
      </c>
      <c r="F87" s="117"/>
      <c r="G87" s="117"/>
      <c r="H87" s="117"/>
      <c r="I87" s="83"/>
      <c r="J87" s="84"/>
      <c r="K87" s="3"/>
      <c r="L87" s="3"/>
      <c r="M87" s="3"/>
      <c r="N87" s="3"/>
      <c r="O87" s="3"/>
    </row>
    <row r="88" spans="1:15" ht="12.75" hidden="1" x14ac:dyDescent="0.2">
      <c r="A88" s="77" t="s">
        <v>58</v>
      </c>
      <c r="B88" s="2"/>
      <c r="C88" s="85"/>
      <c r="D88" s="72"/>
      <c r="E88" s="82" t="s">
        <v>58</v>
      </c>
      <c r="F88" s="117"/>
      <c r="G88" s="117"/>
      <c r="H88" s="117"/>
      <c r="I88" s="83"/>
      <c r="J88" s="84"/>
      <c r="K88" s="3"/>
      <c r="L88" s="3"/>
      <c r="M88" s="3"/>
      <c r="N88" s="3"/>
      <c r="O88" s="3"/>
    </row>
    <row r="89" spans="1:15" ht="12.75" hidden="1" x14ac:dyDescent="0.2">
      <c r="A89" s="77" t="s">
        <v>58</v>
      </c>
      <c r="B89" s="2"/>
      <c r="C89" s="85"/>
      <c r="D89" s="72"/>
      <c r="E89" s="82" t="s">
        <v>58</v>
      </c>
      <c r="F89" s="117"/>
      <c r="G89" s="117"/>
      <c r="H89" s="117"/>
      <c r="I89" s="83"/>
      <c r="J89" s="84"/>
      <c r="K89" s="3"/>
      <c r="L89" s="3"/>
      <c r="M89" s="3"/>
      <c r="N89" s="3"/>
      <c r="O89" s="3"/>
    </row>
    <row r="90" spans="1:15" ht="12.75" hidden="1" x14ac:dyDescent="0.2">
      <c r="A90" s="77" t="s">
        <v>58</v>
      </c>
      <c r="B90" s="2"/>
      <c r="C90" s="85"/>
      <c r="D90" s="72"/>
      <c r="E90" s="82" t="s">
        <v>58</v>
      </c>
      <c r="F90" s="117"/>
      <c r="G90" s="117"/>
      <c r="H90" s="117"/>
      <c r="I90" s="83"/>
      <c r="J90" s="84"/>
      <c r="K90" s="3"/>
      <c r="L90" s="3"/>
      <c r="M90" s="3"/>
      <c r="N90" s="3"/>
      <c r="O90" s="3"/>
    </row>
    <row r="91" spans="1:15" ht="12.75" hidden="1" x14ac:dyDescent="0.2">
      <c r="A91" s="77" t="s">
        <v>58</v>
      </c>
      <c r="B91" s="2"/>
      <c r="C91" s="85"/>
      <c r="D91" s="72"/>
      <c r="E91" s="82" t="s">
        <v>58</v>
      </c>
      <c r="F91" s="117"/>
      <c r="G91" s="117"/>
      <c r="H91" s="117"/>
      <c r="I91" s="83"/>
      <c r="J91" s="84"/>
      <c r="K91" s="3"/>
      <c r="L91" s="3"/>
      <c r="M91" s="3"/>
      <c r="N91" s="3"/>
      <c r="O91" s="3"/>
    </row>
    <row r="92" spans="1:15" ht="12.75" hidden="1" x14ac:dyDescent="0.2">
      <c r="A92" s="77" t="s">
        <v>58</v>
      </c>
      <c r="B92" s="2"/>
      <c r="C92" s="85"/>
      <c r="D92" s="72"/>
      <c r="E92" s="82" t="s">
        <v>58</v>
      </c>
      <c r="F92" s="117"/>
      <c r="G92" s="117"/>
      <c r="H92" s="117"/>
      <c r="I92" s="83"/>
      <c r="J92" s="84"/>
      <c r="K92" s="3"/>
      <c r="L92" s="3"/>
      <c r="M92" s="3"/>
      <c r="N92" s="3"/>
      <c r="O92" s="3"/>
    </row>
    <row r="93" spans="1:15" ht="12.75" hidden="1" x14ac:dyDescent="0.2">
      <c r="A93" s="77" t="s">
        <v>58</v>
      </c>
      <c r="B93" s="2"/>
      <c r="C93" s="85"/>
      <c r="D93" s="72"/>
      <c r="E93" s="82" t="s">
        <v>58</v>
      </c>
      <c r="F93" s="117"/>
      <c r="G93" s="117"/>
      <c r="H93" s="117"/>
      <c r="I93" s="83"/>
      <c r="J93" s="84"/>
      <c r="K93" s="3"/>
      <c r="L93" s="3"/>
      <c r="M93" s="3"/>
      <c r="N93" s="3"/>
      <c r="O93" s="3"/>
    </row>
    <row r="94" spans="1:15" ht="12.75" hidden="1" x14ac:dyDescent="0.2">
      <c r="A94" s="77" t="s">
        <v>58</v>
      </c>
      <c r="B94" s="2"/>
      <c r="C94" s="85"/>
      <c r="D94" s="72"/>
      <c r="E94" s="82" t="s">
        <v>58</v>
      </c>
      <c r="F94" s="117"/>
      <c r="G94" s="117"/>
      <c r="H94" s="117"/>
      <c r="I94" s="83"/>
      <c r="J94" s="84"/>
      <c r="K94" s="3"/>
      <c r="L94" s="3"/>
      <c r="M94" s="3"/>
      <c r="N94" s="3"/>
      <c r="O94" s="3"/>
    </row>
    <row r="95" spans="1:15" ht="12.75" hidden="1" x14ac:dyDescent="0.2">
      <c r="A95" s="77" t="s">
        <v>58</v>
      </c>
      <c r="B95" s="2"/>
      <c r="C95" s="85"/>
      <c r="D95" s="72"/>
      <c r="E95" s="82" t="s">
        <v>58</v>
      </c>
      <c r="F95" s="117"/>
      <c r="G95" s="117"/>
      <c r="H95" s="117"/>
      <c r="I95" s="83"/>
      <c r="J95" s="84"/>
      <c r="K95" s="3"/>
      <c r="L95" s="3"/>
      <c r="M95" s="3"/>
      <c r="N95" s="3"/>
      <c r="O95" s="3"/>
    </row>
    <row r="96" spans="1:15" ht="12.75" hidden="1" x14ac:dyDescent="0.2">
      <c r="A96" s="77" t="s">
        <v>58</v>
      </c>
      <c r="B96" s="2"/>
      <c r="C96" s="85"/>
      <c r="D96" s="72"/>
      <c r="E96" s="82" t="s">
        <v>58</v>
      </c>
      <c r="F96" s="117"/>
      <c r="G96" s="117"/>
      <c r="H96" s="117"/>
      <c r="I96" s="83"/>
      <c r="J96" s="84"/>
      <c r="K96" s="3"/>
      <c r="L96" s="3"/>
      <c r="M96" s="3"/>
      <c r="N96" s="3"/>
      <c r="O96" s="3"/>
    </row>
    <row r="97" spans="1:15" ht="12.75" hidden="1" x14ac:dyDescent="0.2">
      <c r="A97" s="77" t="s">
        <v>58</v>
      </c>
      <c r="B97" s="2"/>
      <c r="C97" s="85"/>
      <c r="D97" s="72"/>
      <c r="E97" s="82" t="s">
        <v>58</v>
      </c>
      <c r="F97" s="117"/>
      <c r="G97" s="117"/>
      <c r="H97" s="117"/>
      <c r="I97" s="83"/>
      <c r="J97" s="84"/>
      <c r="K97" s="3"/>
      <c r="L97" s="3"/>
      <c r="M97" s="3"/>
      <c r="N97" s="3"/>
      <c r="O97" s="3"/>
    </row>
    <row r="98" spans="1:15" ht="12.75" hidden="1" x14ac:dyDescent="0.2">
      <c r="A98" s="77" t="s">
        <v>58</v>
      </c>
      <c r="B98" s="2"/>
      <c r="C98" s="85"/>
      <c r="D98" s="72"/>
      <c r="E98" s="82" t="s">
        <v>58</v>
      </c>
      <c r="F98" s="117"/>
      <c r="G98" s="117"/>
      <c r="H98" s="117"/>
      <c r="I98" s="83"/>
      <c r="J98" s="84"/>
      <c r="K98" s="3"/>
      <c r="L98" s="3"/>
      <c r="M98" s="3"/>
      <c r="N98" s="3"/>
      <c r="O98" s="3"/>
    </row>
    <row r="99" spans="1:15" ht="12.75" hidden="1" x14ac:dyDescent="0.2">
      <c r="A99" s="77" t="s">
        <v>58</v>
      </c>
      <c r="B99" s="2"/>
      <c r="C99" s="85"/>
      <c r="D99" s="72"/>
      <c r="E99" s="82" t="s">
        <v>58</v>
      </c>
      <c r="F99" s="117"/>
      <c r="G99" s="117"/>
      <c r="H99" s="117"/>
      <c r="I99" s="83"/>
      <c r="J99" s="84"/>
      <c r="K99" s="3"/>
      <c r="L99" s="3"/>
      <c r="M99" s="3"/>
      <c r="N99" s="3"/>
      <c r="O99" s="3"/>
    </row>
    <row r="100" spans="1:15" ht="12.75" hidden="1" x14ac:dyDescent="0.2">
      <c r="A100" s="77" t="s">
        <v>58</v>
      </c>
      <c r="B100" s="2"/>
      <c r="C100" s="85"/>
      <c r="D100" s="72"/>
      <c r="E100" s="82" t="s">
        <v>58</v>
      </c>
      <c r="F100" s="117"/>
      <c r="G100" s="117"/>
      <c r="H100" s="117"/>
      <c r="I100" s="83"/>
      <c r="J100" s="84"/>
      <c r="K100" s="3"/>
      <c r="L100" s="3"/>
      <c r="M100" s="3"/>
      <c r="N100" s="3"/>
      <c r="O100" s="3"/>
    </row>
    <row r="101" spans="1:15" ht="12.75" hidden="1" x14ac:dyDescent="0.2">
      <c r="A101" s="77" t="s">
        <v>58</v>
      </c>
      <c r="B101" s="2"/>
      <c r="C101" s="85"/>
      <c r="D101" s="72"/>
      <c r="E101" s="82" t="s">
        <v>58</v>
      </c>
      <c r="F101" s="117"/>
      <c r="G101" s="117"/>
      <c r="H101" s="117"/>
      <c r="I101" s="83"/>
      <c r="J101" s="84"/>
      <c r="K101" s="3"/>
      <c r="L101" s="3"/>
      <c r="M101" s="3"/>
      <c r="N101" s="3"/>
      <c r="O101" s="3"/>
    </row>
    <row r="102" spans="1:15" ht="12.75" hidden="1" x14ac:dyDescent="0.2">
      <c r="A102" s="77" t="s">
        <v>58</v>
      </c>
      <c r="B102" s="2"/>
      <c r="C102" s="85"/>
      <c r="D102" s="72"/>
      <c r="E102" s="82" t="s">
        <v>58</v>
      </c>
      <c r="F102" s="117"/>
      <c r="G102" s="117"/>
      <c r="H102" s="117"/>
      <c r="I102" s="83"/>
      <c r="J102" s="84"/>
      <c r="K102" s="3"/>
      <c r="L102" s="3"/>
      <c r="M102" s="3"/>
      <c r="N102" s="3"/>
      <c r="O102" s="3"/>
    </row>
    <row r="103" spans="1:15" ht="12.75" hidden="1" x14ac:dyDescent="0.2">
      <c r="A103" s="77" t="s">
        <v>58</v>
      </c>
      <c r="B103" s="2"/>
      <c r="C103" s="85"/>
      <c r="D103" s="72"/>
      <c r="E103" s="82" t="s">
        <v>58</v>
      </c>
      <c r="F103" s="117"/>
      <c r="G103" s="117"/>
      <c r="H103" s="117"/>
      <c r="I103" s="83"/>
      <c r="J103" s="84"/>
      <c r="K103" s="3"/>
      <c r="L103" s="3"/>
      <c r="M103" s="3"/>
      <c r="N103" s="3"/>
      <c r="O103" s="3"/>
    </row>
    <row r="104" spans="1:15" ht="12.75" hidden="1" x14ac:dyDescent="0.2">
      <c r="A104" s="77" t="s">
        <v>58</v>
      </c>
      <c r="B104" s="2"/>
      <c r="C104" s="85"/>
      <c r="D104" s="72"/>
      <c r="E104" s="82" t="s">
        <v>58</v>
      </c>
      <c r="F104" s="117"/>
      <c r="G104" s="117"/>
      <c r="H104" s="117"/>
      <c r="I104" s="83"/>
      <c r="J104" s="84"/>
      <c r="K104" s="3"/>
      <c r="L104" s="3"/>
      <c r="M104" s="3"/>
      <c r="N104" s="3"/>
      <c r="O104" s="3"/>
    </row>
    <row r="105" spans="1:15" ht="12.75" hidden="1" x14ac:dyDescent="0.2">
      <c r="A105" s="77" t="s">
        <v>58</v>
      </c>
      <c r="B105" s="2"/>
      <c r="C105" s="85"/>
      <c r="D105" s="72"/>
      <c r="E105" s="82" t="s">
        <v>58</v>
      </c>
      <c r="F105" s="117"/>
      <c r="G105" s="117"/>
      <c r="H105" s="117"/>
      <c r="I105" s="83"/>
      <c r="J105" s="84"/>
      <c r="K105" s="3"/>
      <c r="L105" s="3"/>
      <c r="M105" s="3"/>
      <c r="N105" s="3"/>
      <c r="O105" s="3"/>
    </row>
    <row r="106" spans="1:15" ht="12.75" hidden="1" x14ac:dyDescent="0.2">
      <c r="A106" s="77" t="s">
        <v>58</v>
      </c>
      <c r="B106" s="2"/>
      <c r="C106" s="85"/>
      <c r="D106" s="72"/>
      <c r="E106" s="82" t="s">
        <v>58</v>
      </c>
      <c r="F106" s="117"/>
      <c r="G106" s="117"/>
      <c r="H106" s="117"/>
      <c r="I106" s="83"/>
      <c r="J106" s="84"/>
      <c r="K106" s="3"/>
      <c r="L106" s="3"/>
      <c r="M106" s="3"/>
      <c r="N106" s="3"/>
      <c r="O106" s="3"/>
    </row>
    <row r="107" spans="1:15" ht="12.75" hidden="1" x14ac:dyDescent="0.2">
      <c r="A107" s="77" t="s">
        <v>58</v>
      </c>
      <c r="B107" s="2"/>
      <c r="C107" s="85"/>
      <c r="D107" s="72"/>
      <c r="E107" s="82" t="s">
        <v>58</v>
      </c>
      <c r="F107" s="117"/>
      <c r="G107" s="117"/>
      <c r="H107" s="117"/>
      <c r="I107" s="83"/>
      <c r="J107" s="84"/>
      <c r="K107" s="3"/>
      <c r="L107" s="3"/>
      <c r="M107" s="3"/>
      <c r="N107" s="3"/>
      <c r="O107" s="3"/>
    </row>
    <row r="108" spans="1:15" ht="12.75" hidden="1" x14ac:dyDescent="0.2">
      <c r="A108" s="77" t="s">
        <v>58</v>
      </c>
      <c r="B108" s="2"/>
      <c r="C108" s="85"/>
      <c r="D108" s="72"/>
      <c r="E108" s="82" t="s">
        <v>58</v>
      </c>
      <c r="F108" s="117"/>
      <c r="G108" s="117"/>
      <c r="H108" s="117"/>
      <c r="I108" s="83"/>
      <c r="J108" s="84"/>
      <c r="K108" s="3"/>
      <c r="L108" s="3"/>
      <c r="M108" s="3"/>
      <c r="N108" s="3"/>
      <c r="O108" s="3"/>
    </row>
    <row r="109" spans="1:15" ht="12.75" hidden="1" x14ac:dyDescent="0.2">
      <c r="A109" s="77" t="s">
        <v>58</v>
      </c>
      <c r="B109" s="2"/>
      <c r="C109" s="85"/>
      <c r="D109" s="72"/>
      <c r="E109" s="82" t="s">
        <v>58</v>
      </c>
      <c r="F109" s="117"/>
      <c r="G109" s="117"/>
      <c r="H109" s="117"/>
      <c r="I109" s="83"/>
      <c r="J109" s="84"/>
      <c r="K109" s="3"/>
      <c r="L109" s="3"/>
      <c r="M109" s="3"/>
      <c r="N109" s="3"/>
      <c r="O109" s="3"/>
    </row>
    <row r="110" spans="1:15" ht="12.75" hidden="1" x14ac:dyDescent="0.2">
      <c r="A110" s="77" t="s">
        <v>58</v>
      </c>
      <c r="B110" s="2"/>
      <c r="C110" s="85"/>
      <c r="D110" s="72"/>
      <c r="E110" s="82" t="s">
        <v>58</v>
      </c>
      <c r="F110" s="117"/>
      <c r="G110" s="117"/>
      <c r="H110" s="117"/>
      <c r="I110" s="83"/>
      <c r="J110" s="84"/>
      <c r="K110" s="3"/>
      <c r="L110" s="3"/>
      <c r="M110" s="3"/>
      <c r="N110" s="3"/>
      <c r="O110" s="3"/>
    </row>
    <row r="111" spans="1:15" ht="12.75" hidden="1" x14ac:dyDescent="0.2">
      <c r="A111" s="77" t="s">
        <v>58</v>
      </c>
      <c r="B111" s="2"/>
      <c r="C111" s="85"/>
      <c r="D111" s="72"/>
      <c r="E111" s="82" t="s">
        <v>58</v>
      </c>
      <c r="F111" s="117"/>
      <c r="G111" s="117"/>
      <c r="H111" s="117"/>
      <c r="I111" s="83"/>
      <c r="J111" s="84"/>
      <c r="K111" s="3"/>
      <c r="L111" s="3"/>
      <c r="M111" s="3"/>
      <c r="N111" s="3"/>
      <c r="O111" s="3"/>
    </row>
    <row r="112" spans="1:15" ht="12.75" hidden="1" x14ac:dyDescent="0.2">
      <c r="A112" s="77" t="s">
        <v>58</v>
      </c>
      <c r="B112" s="2"/>
      <c r="C112" s="85"/>
      <c r="D112" s="72"/>
      <c r="E112" s="82" t="s">
        <v>58</v>
      </c>
      <c r="F112" s="117"/>
      <c r="G112" s="117"/>
      <c r="H112" s="117"/>
      <c r="I112" s="83"/>
      <c r="J112" s="84"/>
      <c r="K112" s="3"/>
      <c r="L112" s="3"/>
      <c r="M112" s="3"/>
      <c r="N112" s="3"/>
      <c r="O112" s="3"/>
    </row>
    <row r="113" spans="1:15" ht="12.75" hidden="1" x14ac:dyDescent="0.2">
      <c r="A113" s="77" t="s">
        <v>58</v>
      </c>
      <c r="B113" s="2"/>
      <c r="C113" s="85"/>
      <c r="D113" s="72"/>
      <c r="E113" s="82" t="s">
        <v>58</v>
      </c>
      <c r="F113" s="117"/>
      <c r="G113" s="117"/>
      <c r="H113" s="117"/>
      <c r="I113" s="83"/>
      <c r="J113" s="84"/>
      <c r="K113" s="3"/>
      <c r="L113" s="3"/>
      <c r="M113" s="3"/>
      <c r="N113" s="3"/>
      <c r="O113" s="3"/>
    </row>
    <row r="114" spans="1:15" ht="12.75" hidden="1" x14ac:dyDescent="0.2">
      <c r="A114" s="77" t="s">
        <v>58</v>
      </c>
      <c r="B114" s="2"/>
      <c r="C114" s="85"/>
      <c r="D114" s="72"/>
      <c r="E114" s="82" t="s">
        <v>58</v>
      </c>
      <c r="F114" s="117"/>
      <c r="G114" s="117"/>
      <c r="H114" s="117"/>
      <c r="I114" s="83"/>
      <c r="J114" s="84"/>
      <c r="K114" s="3"/>
      <c r="L114" s="3"/>
      <c r="M114" s="3"/>
      <c r="N114" s="3"/>
      <c r="O114" s="3"/>
    </row>
    <row r="115" spans="1:15" ht="12.75" hidden="1" x14ac:dyDescent="0.2">
      <c r="A115" s="77" t="s">
        <v>58</v>
      </c>
      <c r="B115" s="2"/>
      <c r="C115" s="85"/>
      <c r="D115" s="72"/>
      <c r="E115" s="82" t="s">
        <v>58</v>
      </c>
      <c r="F115" s="117"/>
      <c r="G115" s="117"/>
      <c r="H115" s="117"/>
      <c r="I115" s="83"/>
      <c r="J115" s="84"/>
      <c r="K115" s="3"/>
      <c r="L115" s="3"/>
      <c r="M115" s="3"/>
      <c r="N115" s="3"/>
      <c r="O115" s="3"/>
    </row>
    <row r="116" spans="1:15" ht="12.75" hidden="1" x14ac:dyDescent="0.2">
      <c r="A116" s="77" t="s">
        <v>58</v>
      </c>
      <c r="B116" s="2"/>
      <c r="C116" s="85"/>
      <c r="D116" s="72"/>
      <c r="E116" s="82" t="s">
        <v>58</v>
      </c>
      <c r="F116" s="117"/>
      <c r="G116" s="117"/>
      <c r="H116" s="117"/>
      <c r="I116" s="83"/>
      <c r="J116" s="84"/>
      <c r="K116" s="3"/>
      <c r="L116" s="3"/>
      <c r="M116" s="3"/>
      <c r="N116" s="3"/>
      <c r="O116" s="3"/>
    </row>
    <row r="117" spans="1:15" ht="12.75" hidden="1" x14ac:dyDescent="0.2">
      <c r="A117" s="77" t="s">
        <v>58</v>
      </c>
      <c r="B117" s="2"/>
      <c r="C117" s="85"/>
      <c r="D117" s="72"/>
      <c r="E117" s="82" t="s">
        <v>58</v>
      </c>
      <c r="F117" s="117"/>
      <c r="G117" s="117"/>
      <c r="H117" s="117"/>
      <c r="I117" s="83"/>
      <c r="J117" s="84"/>
      <c r="K117" s="3"/>
      <c r="L117" s="3"/>
      <c r="M117" s="3"/>
      <c r="N117" s="3"/>
      <c r="O117" s="3"/>
    </row>
    <row r="118" spans="1:15" ht="12.75" hidden="1" x14ac:dyDescent="0.2">
      <c r="A118" s="77" t="s">
        <v>58</v>
      </c>
      <c r="B118" s="2"/>
      <c r="C118" s="85"/>
      <c r="D118" s="72"/>
      <c r="E118" s="82" t="s">
        <v>58</v>
      </c>
      <c r="F118" s="117"/>
      <c r="G118" s="117"/>
      <c r="H118" s="117"/>
      <c r="I118" s="83"/>
      <c r="J118" s="84"/>
      <c r="K118" s="3"/>
      <c r="L118" s="3"/>
      <c r="M118" s="3"/>
      <c r="N118" s="3"/>
      <c r="O118" s="3"/>
    </row>
    <row r="119" spans="1:15" ht="12.75" hidden="1" x14ac:dyDescent="0.2">
      <c r="A119" s="77" t="s">
        <v>58</v>
      </c>
      <c r="B119" s="2"/>
      <c r="C119" s="85"/>
      <c r="D119" s="72"/>
      <c r="E119" s="82" t="s">
        <v>58</v>
      </c>
      <c r="F119" s="117"/>
      <c r="G119" s="117"/>
      <c r="H119" s="117"/>
      <c r="I119" s="83"/>
      <c r="J119" s="84"/>
      <c r="K119" s="3"/>
      <c r="L119" s="3"/>
      <c r="M119" s="3"/>
      <c r="N119" s="3"/>
      <c r="O119" s="3"/>
    </row>
    <row r="120" spans="1:15" ht="12.75" hidden="1" x14ac:dyDescent="0.2">
      <c r="A120" s="77" t="s">
        <v>58</v>
      </c>
      <c r="B120" s="2"/>
      <c r="C120" s="85"/>
      <c r="D120" s="72"/>
      <c r="E120" s="82" t="s">
        <v>58</v>
      </c>
      <c r="F120" s="117"/>
      <c r="G120" s="117"/>
      <c r="H120" s="117"/>
      <c r="I120" s="83"/>
      <c r="J120" s="84"/>
      <c r="K120" s="3"/>
      <c r="L120" s="3"/>
      <c r="M120" s="3"/>
      <c r="N120" s="3"/>
      <c r="O120" s="3"/>
    </row>
    <row r="121" spans="1:15" ht="12.75" hidden="1" x14ac:dyDescent="0.2">
      <c r="A121" s="77" t="s">
        <v>58</v>
      </c>
      <c r="B121" s="2"/>
      <c r="C121" s="85"/>
      <c r="D121" s="72"/>
      <c r="E121" s="82" t="s">
        <v>58</v>
      </c>
      <c r="F121" s="117"/>
      <c r="G121" s="117"/>
      <c r="H121" s="117"/>
      <c r="I121" s="83"/>
      <c r="J121" s="84"/>
      <c r="K121" s="3"/>
      <c r="L121" s="3"/>
      <c r="M121" s="3"/>
      <c r="N121" s="3"/>
      <c r="O121" s="3"/>
    </row>
    <row r="122" spans="1:15" ht="12.75" hidden="1" x14ac:dyDescent="0.2">
      <c r="A122" s="77" t="s">
        <v>58</v>
      </c>
      <c r="B122" s="2"/>
      <c r="C122" s="85"/>
      <c r="D122" s="72"/>
      <c r="E122" s="82" t="s">
        <v>58</v>
      </c>
      <c r="F122" s="117"/>
      <c r="G122" s="117"/>
      <c r="H122" s="117"/>
      <c r="I122" s="83"/>
      <c r="J122" s="84"/>
      <c r="K122" s="3"/>
      <c r="L122" s="3"/>
      <c r="M122" s="3"/>
      <c r="N122" s="3"/>
      <c r="O122" s="3"/>
    </row>
    <row r="123" spans="1:15" ht="12.75" hidden="1" x14ac:dyDescent="0.2">
      <c r="A123" s="77" t="s">
        <v>58</v>
      </c>
      <c r="B123" s="2"/>
      <c r="C123" s="85"/>
      <c r="D123" s="72"/>
      <c r="E123" s="82" t="s">
        <v>58</v>
      </c>
      <c r="F123" s="117"/>
      <c r="G123" s="117"/>
      <c r="H123" s="117"/>
      <c r="I123" s="83"/>
      <c r="J123" s="84"/>
      <c r="K123" s="3"/>
      <c r="L123" s="3"/>
      <c r="M123" s="3"/>
      <c r="N123" s="3"/>
      <c r="O123" s="3"/>
    </row>
    <row r="124" spans="1:15" ht="12.75" hidden="1" x14ac:dyDescent="0.2">
      <c r="A124" s="77" t="s">
        <v>58</v>
      </c>
      <c r="B124" s="2"/>
      <c r="C124" s="85"/>
      <c r="D124" s="72"/>
      <c r="E124" s="82" t="s">
        <v>58</v>
      </c>
      <c r="F124" s="117"/>
      <c r="G124" s="117"/>
      <c r="H124" s="117"/>
      <c r="I124" s="83"/>
      <c r="J124" s="84"/>
      <c r="K124" s="3"/>
      <c r="L124" s="3"/>
      <c r="M124" s="3"/>
      <c r="N124" s="3"/>
      <c r="O124" s="3"/>
    </row>
    <row r="125" spans="1:15" ht="12.75" hidden="1" x14ac:dyDescent="0.2">
      <c r="A125" s="77" t="s">
        <v>58</v>
      </c>
      <c r="B125" s="2"/>
      <c r="C125" s="85"/>
      <c r="D125" s="72"/>
      <c r="E125" s="82" t="s">
        <v>58</v>
      </c>
      <c r="F125" s="117"/>
      <c r="G125" s="117"/>
      <c r="H125" s="117"/>
      <c r="I125" s="83"/>
      <c r="J125" s="84"/>
      <c r="K125" s="3"/>
      <c r="L125" s="3"/>
      <c r="M125" s="3"/>
      <c r="N125" s="3"/>
      <c r="O125" s="3"/>
    </row>
    <row r="126" spans="1:15" ht="12.75" hidden="1" x14ac:dyDescent="0.2">
      <c r="A126" s="77" t="s">
        <v>58</v>
      </c>
      <c r="B126" s="2"/>
      <c r="C126" s="85"/>
      <c r="D126" s="72"/>
      <c r="E126" s="82" t="s">
        <v>58</v>
      </c>
      <c r="F126" s="117"/>
      <c r="G126" s="117"/>
      <c r="H126" s="117"/>
      <c r="I126" s="83"/>
      <c r="J126" s="84"/>
      <c r="K126" s="3"/>
      <c r="L126" s="3"/>
      <c r="M126" s="3"/>
      <c r="N126" s="3"/>
      <c r="O126" s="3"/>
    </row>
    <row r="127" spans="1:15" ht="12.75" hidden="1" x14ac:dyDescent="0.2">
      <c r="A127" s="77" t="s">
        <v>58</v>
      </c>
      <c r="B127" s="2"/>
      <c r="C127" s="85"/>
      <c r="D127" s="72"/>
      <c r="E127" s="82" t="s">
        <v>58</v>
      </c>
      <c r="F127" s="117"/>
      <c r="G127" s="117"/>
      <c r="H127" s="117"/>
      <c r="I127" s="83"/>
      <c r="J127" s="84"/>
      <c r="K127" s="3"/>
      <c r="L127" s="3"/>
      <c r="M127" s="3"/>
      <c r="N127" s="3"/>
      <c r="O127" s="3"/>
    </row>
    <row r="128" spans="1:15" ht="12.75" hidden="1" x14ac:dyDescent="0.2">
      <c r="A128" s="77" t="s">
        <v>58</v>
      </c>
      <c r="B128" s="2"/>
      <c r="C128" s="85"/>
      <c r="D128" s="72"/>
      <c r="E128" s="82" t="s">
        <v>58</v>
      </c>
      <c r="F128" s="117"/>
      <c r="G128" s="117"/>
      <c r="H128" s="117"/>
      <c r="I128" s="83"/>
      <c r="J128" s="84"/>
      <c r="K128" s="3"/>
      <c r="L128" s="3"/>
      <c r="M128" s="3"/>
      <c r="N128" s="3"/>
      <c r="O128" s="3"/>
    </row>
    <row r="129" spans="1:15" ht="12.75" hidden="1" x14ac:dyDescent="0.2">
      <c r="A129" s="77" t="s">
        <v>58</v>
      </c>
      <c r="B129" s="2"/>
      <c r="C129" s="85"/>
      <c r="D129" s="72"/>
      <c r="E129" s="82" t="s">
        <v>58</v>
      </c>
      <c r="F129" s="117"/>
      <c r="G129" s="117"/>
      <c r="H129" s="117"/>
      <c r="I129" s="83"/>
      <c r="J129" s="84"/>
      <c r="K129" s="3"/>
      <c r="L129" s="3"/>
      <c r="M129" s="3"/>
      <c r="N129" s="3"/>
      <c r="O129" s="3"/>
    </row>
    <row r="130" spans="1:15" ht="12.75" hidden="1" x14ac:dyDescent="0.2">
      <c r="A130" s="77" t="s">
        <v>58</v>
      </c>
      <c r="B130" s="2"/>
      <c r="C130" s="85"/>
      <c r="D130" s="72"/>
      <c r="E130" s="82" t="s">
        <v>58</v>
      </c>
      <c r="F130" s="117"/>
      <c r="G130" s="117"/>
      <c r="H130" s="117"/>
      <c r="I130" s="83"/>
      <c r="J130" s="84"/>
      <c r="K130" s="3"/>
      <c r="L130" s="3"/>
      <c r="M130" s="3"/>
      <c r="N130" s="3"/>
      <c r="O130" s="3"/>
    </row>
    <row r="131" spans="1:15" ht="12.75" hidden="1" x14ac:dyDescent="0.2">
      <c r="A131" s="77" t="s">
        <v>58</v>
      </c>
      <c r="B131" s="2"/>
      <c r="C131" s="85"/>
      <c r="D131" s="72"/>
      <c r="E131" s="82" t="s">
        <v>58</v>
      </c>
      <c r="F131" s="117"/>
      <c r="G131" s="117"/>
      <c r="H131" s="117"/>
      <c r="I131" s="83"/>
      <c r="J131" s="84"/>
      <c r="K131" s="3"/>
      <c r="L131" s="3"/>
      <c r="M131" s="3"/>
      <c r="N131" s="3"/>
      <c r="O131" s="3"/>
    </row>
    <row r="132" spans="1:15" ht="12.75" hidden="1" x14ac:dyDescent="0.2">
      <c r="A132" s="77" t="s">
        <v>58</v>
      </c>
      <c r="B132" s="2"/>
      <c r="C132" s="85"/>
      <c r="D132" s="72"/>
      <c r="E132" s="82" t="s">
        <v>58</v>
      </c>
      <c r="F132" s="117"/>
      <c r="G132" s="117"/>
      <c r="H132" s="117"/>
      <c r="I132" s="83"/>
      <c r="J132" s="84"/>
      <c r="K132" s="3"/>
      <c r="L132" s="3"/>
      <c r="M132" s="3"/>
      <c r="N132" s="3"/>
      <c r="O132" s="3"/>
    </row>
    <row r="133" spans="1:15" ht="12.75" hidden="1" x14ac:dyDescent="0.2">
      <c r="A133" s="77" t="s">
        <v>58</v>
      </c>
      <c r="B133" s="2"/>
      <c r="C133" s="85"/>
      <c r="D133" s="72"/>
      <c r="E133" s="82" t="s">
        <v>58</v>
      </c>
      <c r="F133" s="117"/>
      <c r="G133" s="117"/>
      <c r="H133" s="117"/>
      <c r="I133" s="83"/>
      <c r="J133" s="84"/>
      <c r="K133" s="3"/>
      <c r="L133" s="3"/>
      <c r="M133" s="3"/>
      <c r="N133" s="3"/>
      <c r="O133" s="3"/>
    </row>
    <row r="134" spans="1:15" ht="12.75" hidden="1" x14ac:dyDescent="0.2">
      <c r="A134" s="77" t="s">
        <v>58</v>
      </c>
      <c r="B134" s="2"/>
      <c r="C134" s="85"/>
      <c r="D134" s="72"/>
      <c r="E134" s="82" t="s">
        <v>58</v>
      </c>
      <c r="F134" s="117"/>
      <c r="G134" s="117"/>
      <c r="H134" s="117"/>
      <c r="I134" s="83"/>
      <c r="J134" s="84"/>
      <c r="K134" s="3"/>
      <c r="L134" s="3"/>
      <c r="M134" s="3"/>
      <c r="N134" s="3"/>
      <c r="O134" s="3"/>
    </row>
    <row r="135" spans="1:15" ht="12.75" hidden="1" x14ac:dyDescent="0.2">
      <c r="A135" s="77" t="s">
        <v>58</v>
      </c>
      <c r="B135" s="2"/>
      <c r="C135" s="85"/>
      <c r="D135" s="72"/>
      <c r="E135" s="82" t="s">
        <v>58</v>
      </c>
      <c r="F135" s="117"/>
      <c r="G135" s="117"/>
      <c r="H135" s="117"/>
      <c r="I135" s="83"/>
      <c r="J135" s="84"/>
      <c r="K135" s="3"/>
      <c r="L135" s="3"/>
      <c r="M135" s="3"/>
      <c r="N135" s="3"/>
      <c r="O135" s="3"/>
    </row>
    <row r="136" spans="1:15" ht="12.75" hidden="1" x14ac:dyDescent="0.2">
      <c r="A136" s="77" t="s">
        <v>58</v>
      </c>
      <c r="B136" s="2"/>
      <c r="C136" s="85"/>
      <c r="D136" s="72"/>
      <c r="E136" s="82" t="s">
        <v>58</v>
      </c>
      <c r="F136" s="117"/>
      <c r="G136" s="117"/>
      <c r="H136" s="117"/>
      <c r="I136" s="83"/>
      <c r="J136" s="84"/>
      <c r="K136" s="3"/>
      <c r="L136" s="3"/>
      <c r="M136" s="3"/>
      <c r="N136" s="3"/>
      <c r="O136" s="3"/>
    </row>
    <row r="137" spans="1:15" ht="12.75" hidden="1" x14ac:dyDescent="0.2">
      <c r="A137" s="77" t="s">
        <v>58</v>
      </c>
      <c r="B137" s="2"/>
      <c r="C137" s="85"/>
      <c r="D137" s="72"/>
      <c r="E137" s="82" t="s">
        <v>58</v>
      </c>
      <c r="F137" s="117"/>
      <c r="G137" s="117"/>
      <c r="H137" s="117"/>
      <c r="I137" s="83"/>
      <c r="J137" s="84"/>
      <c r="K137" s="3"/>
      <c r="L137" s="3"/>
      <c r="M137" s="3"/>
      <c r="N137" s="3"/>
      <c r="O137" s="3"/>
    </row>
    <row r="138" spans="1:15" ht="12.75" hidden="1" x14ac:dyDescent="0.2">
      <c r="A138" s="77" t="s">
        <v>58</v>
      </c>
      <c r="B138" s="2"/>
      <c r="C138" s="85"/>
      <c r="D138" s="72"/>
      <c r="E138" s="82" t="s">
        <v>58</v>
      </c>
      <c r="F138" s="117"/>
      <c r="G138" s="117"/>
      <c r="H138" s="117"/>
      <c r="I138" s="83"/>
      <c r="J138" s="84"/>
      <c r="K138" s="3"/>
      <c r="L138" s="3"/>
      <c r="M138" s="3"/>
      <c r="N138" s="3"/>
      <c r="O138" s="3"/>
    </row>
    <row r="139" spans="1:15" ht="12.75" hidden="1" x14ac:dyDescent="0.2">
      <c r="A139" s="77" t="s">
        <v>58</v>
      </c>
      <c r="B139" s="2"/>
      <c r="C139" s="85"/>
      <c r="D139" s="72"/>
      <c r="E139" s="82" t="s">
        <v>58</v>
      </c>
      <c r="F139" s="117"/>
      <c r="G139" s="117"/>
      <c r="H139" s="117"/>
      <c r="I139" s="83"/>
      <c r="J139" s="84"/>
      <c r="K139" s="3"/>
      <c r="L139" s="3"/>
      <c r="M139" s="3"/>
      <c r="N139" s="3"/>
      <c r="O139" s="3"/>
    </row>
    <row r="140" spans="1:15" ht="12.75" hidden="1" x14ac:dyDescent="0.2">
      <c r="A140" s="77" t="s">
        <v>58</v>
      </c>
      <c r="B140" s="2"/>
      <c r="C140" s="85"/>
      <c r="D140" s="72"/>
      <c r="E140" s="82" t="s">
        <v>58</v>
      </c>
      <c r="F140" s="117"/>
      <c r="G140" s="117"/>
      <c r="H140" s="117"/>
      <c r="I140" s="83"/>
      <c r="J140" s="84"/>
      <c r="K140" s="3"/>
      <c r="L140" s="3"/>
      <c r="M140" s="3"/>
      <c r="N140" s="3"/>
      <c r="O140" s="3"/>
    </row>
    <row r="141" spans="1:15" ht="12.75" hidden="1" x14ac:dyDescent="0.2">
      <c r="A141" s="77" t="s">
        <v>58</v>
      </c>
      <c r="B141" s="2"/>
      <c r="C141" s="85"/>
      <c r="D141" s="72"/>
      <c r="E141" s="82" t="s">
        <v>58</v>
      </c>
      <c r="F141" s="117"/>
      <c r="G141" s="117"/>
      <c r="H141" s="117"/>
      <c r="I141" s="83"/>
      <c r="J141" s="84"/>
      <c r="K141" s="3"/>
      <c r="L141" s="3"/>
      <c r="M141" s="3"/>
      <c r="N141" s="3"/>
      <c r="O141" s="3"/>
    </row>
    <row r="142" spans="1:15" ht="12.75" hidden="1" x14ac:dyDescent="0.2">
      <c r="A142" s="77" t="s">
        <v>58</v>
      </c>
      <c r="B142" s="2"/>
      <c r="C142" s="85"/>
      <c r="D142" s="72"/>
      <c r="E142" s="82" t="s">
        <v>58</v>
      </c>
      <c r="F142" s="117"/>
      <c r="G142" s="117"/>
      <c r="H142" s="117"/>
      <c r="I142" s="83"/>
      <c r="J142" s="84"/>
      <c r="K142" s="3"/>
      <c r="L142" s="3"/>
      <c r="M142" s="3"/>
      <c r="N142" s="3"/>
      <c r="O142" s="3"/>
    </row>
    <row r="143" spans="1:15" ht="12.75" hidden="1" x14ac:dyDescent="0.2">
      <c r="A143" s="77" t="s">
        <v>58</v>
      </c>
      <c r="B143" s="2"/>
      <c r="C143" s="85"/>
      <c r="D143" s="72"/>
      <c r="E143" s="82" t="s">
        <v>58</v>
      </c>
      <c r="F143" s="117"/>
      <c r="G143" s="117"/>
      <c r="H143" s="117"/>
      <c r="I143" s="83"/>
      <c r="J143" s="84"/>
      <c r="K143" s="3"/>
      <c r="L143" s="3"/>
      <c r="M143" s="3"/>
      <c r="N143" s="3"/>
      <c r="O143" s="3"/>
    </row>
    <row r="144" spans="1:15" ht="12.75" hidden="1" x14ac:dyDescent="0.2">
      <c r="A144" s="77" t="s">
        <v>58</v>
      </c>
      <c r="B144" s="2"/>
      <c r="C144" s="85"/>
      <c r="D144" s="72"/>
      <c r="E144" s="82" t="s">
        <v>58</v>
      </c>
      <c r="F144" s="117"/>
      <c r="G144" s="117"/>
      <c r="H144" s="117"/>
      <c r="I144" s="83"/>
      <c r="J144" s="84"/>
      <c r="K144" s="3"/>
      <c r="L144" s="3"/>
      <c r="M144" s="3"/>
      <c r="N144" s="3"/>
      <c r="O144" s="3"/>
    </row>
    <row r="145" spans="1:15" ht="12.75" hidden="1" x14ac:dyDescent="0.2">
      <c r="A145" s="77" t="s">
        <v>58</v>
      </c>
      <c r="B145" s="2"/>
      <c r="C145" s="85"/>
      <c r="D145" s="72"/>
      <c r="E145" s="82" t="s">
        <v>58</v>
      </c>
      <c r="F145" s="117"/>
      <c r="G145" s="117"/>
      <c r="H145" s="117"/>
      <c r="I145" s="83"/>
      <c r="J145" s="84"/>
      <c r="K145" s="3"/>
      <c r="L145" s="3"/>
      <c r="M145" s="3"/>
      <c r="N145" s="3"/>
      <c r="O145" s="3"/>
    </row>
    <row r="146" spans="1:15" ht="12.75" hidden="1" x14ac:dyDescent="0.2">
      <c r="A146" s="77" t="s">
        <v>58</v>
      </c>
      <c r="B146" s="2"/>
      <c r="C146" s="85"/>
      <c r="D146" s="72"/>
      <c r="E146" s="82" t="s">
        <v>58</v>
      </c>
      <c r="F146" s="117"/>
      <c r="G146" s="117"/>
      <c r="H146" s="117"/>
      <c r="I146" s="83"/>
      <c r="J146" s="84"/>
      <c r="K146" s="3"/>
      <c r="L146" s="3"/>
      <c r="M146" s="3"/>
      <c r="N146" s="3"/>
      <c r="O146" s="3"/>
    </row>
    <row r="147" spans="1:15" ht="12.75" hidden="1" x14ac:dyDescent="0.2">
      <c r="A147" s="77" t="s">
        <v>58</v>
      </c>
      <c r="B147" s="2"/>
      <c r="C147" s="85"/>
      <c r="D147" s="72"/>
      <c r="E147" s="82" t="s">
        <v>58</v>
      </c>
      <c r="F147" s="117"/>
      <c r="G147" s="117"/>
      <c r="H147" s="117"/>
      <c r="I147" s="83"/>
      <c r="J147" s="84"/>
      <c r="K147" s="3"/>
      <c r="L147" s="3"/>
      <c r="M147" s="3"/>
      <c r="N147" s="3"/>
      <c r="O147" s="3"/>
    </row>
    <row r="148" spans="1:15" ht="12.75" hidden="1" x14ac:dyDescent="0.2">
      <c r="A148" s="77" t="s">
        <v>58</v>
      </c>
      <c r="B148" s="2"/>
      <c r="C148" s="85"/>
      <c r="D148" s="72"/>
      <c r="E148" s="82" t="s">
        <v>58</v>
      </c>
      <c r="F148" s="117"/>
      <c r="G148" s="117"/>
      <c r="H148" s="117"/>
      <c r="I148" s="83"/>
      <c r="J148" s="84"/>
      <c r="K148" s="3"/>
      <c r="L148" s="3"/>
      <c r="M148" s="3"/>
      <c r="N148" s="3"/>
      <c r="O148" s="3"/>
    </row>
    <row r="149" spans="1:15" ht="12.75" hidden="1" x14ac:dyDescent="0.2">
      <c r="A149" s="77" t="s">
        <v>58</v>
      </c>
      <c r="B149" s="2"/>
      <c r="C149" s="85"/>
      <c r="D149" s="72"/>
      <c r="E149" s="82" t="s">
        <v>58</v>
      </c>
      <c r="F149" s="117"/>
      <c r="G149" s="117"/>
      <c r="H149" s="117"/>
      <c r="I149" s="83"/>
      <c r="J149" s="84"/>
      <c r="K149" s="3"/>
      <c r="L149" s="3"/>
      <c r="M149" s="3"/>
      <c r="N149" s="3"/>
      <c r="O149" s="3"/>
    </row>
    <row r="150" spans="1:15" ht="12.75" hidden="1" x14ac:dyDescent="0.2">
      <c r="A150" s="77" t="s">
        <v>58</v>
      </c>
      <c r="B150" s="2"/>
      <c r="C150" s="85"/>
      <c r="D150" s="72"/>
      <c r="E150" s="82" t="s">
        <v>58</v>
      </c>
      <c r="F150" s="117"/>
      <c r="G150" s="117"/>
      <c r="H150" s="117"/>
      <c r="I150" s="83"/>
      <c r="J150" s="84"/>
      <c r="K150" s="3"/>
      <c r="L150" s="3"/>
      <c r="M150" s="3"/>
      <c r="N150" s="3"/>
      <c r="O150" s="3"/>
    </row>
    <row r="151" spans="1:15" ht="12.75" hidden="1" x14ac:dyDescent="0.2">
      <c r="A151" s="77" t="s">
        <v>58</v>
      </c>
      <c r="B151" s="2"/>
      <c r="C151" s="85"/>
      <c r="D151" s="72"/>
      <c r="E151" s="82" t="s">
        <v>58</v>
      </c>
      <c r="F151" s="117"/>
      <c r="G151" s="117"/>
      <c r="H151" s="117"/>
      <c r="I151" s="83"/>
      <c r="J151" s="84"/>
      <c r="K151" s="3"/>
      <c r="L151" s="3"/>
      <c r="M151" s="3"/>
      <c r="N151" s="3"/>
      <c r="O151" s="3"/>
    </row>
    <row r="152" spans="1:15" ht="12.75" hidden="1" x14ac:dyDescent="0.2">
      <c r="A152" s="77" t="s">
        <v>58</v>
      </c>
      <c r="B152" s="2"/>
      <c r="C152" s="85"/>
      <c r="D152" s="72"/>
      <c r="E152" s="82" t="s">
        <v>58</v>
      </c>
      <c r="F152" s="117"/>
      <c r="G152" s="117"/>
      <c r="H152" s="117"/>
      <c r="I152" s="83"/>
      <c r="J152" s="84"/>
      <c r="K152" s="3"/>
      <c r="L152" s="3"/>
      <c r="M152" s="3"/>
      <c r="N152" s="3"/>
      <c r="O152" s="3"/>
    </row>
    <row r="153" spans="1:15" ht="12.75" hidden="1" x14ac:dyDescent="0.2">
      <c r="A153" s="77" t="s">
        <v>58</v>
      </c>
      <c r="B153" s="2"/>
      <c r="C153" s="85"/>
      <c r="D153" s="72"/>
      <c r="E153" s="82" t="s">
        <v>58</v>
      </c>
      <c r="F153" s="117"/>
      <c r="G153" s="117"/>
      <c r="H153" s="117"/>
      <c r="I153" s="83"/>
      <c r="J153" s="84"/>
      <c r="K153" s="3"/>
      <c r="L153" s="3"/>
      <c r="M153" s="3"/>
      <c r="N153" s="3"/>
      <c r="O153" s="3"/>
    </row>
    <row r="154" spans="1:15" ht="12.75" hidden="1" x14ac:dyDescent="0.2">
      <c r="A154" s="77" t="s">
        <v>58</v>
      </c>
      <c r="B154" s="2"/>
      <c r="C154" s="85"/>
      <c r="D154" s="72"/>
      <c r="E154" s="82" t="s">
        <v>58</v>
      </c>
      <c r="F154" s="117"/>
      <c r="G154" s="117"/>
      <c r="H154" s="117"/>
      <c r="I154" s="83"/>
      <c r="J154" s="84"/>
      <c r="K154" s="3"/>
      <c r="L154" s="3"/>
      <c r="M154" s="3"/>
      <c r="N154" s="3"/>
      <c r="O154" s="3"/>
    </row>
    <row r="155" spans="1:15" ht="12.75" hidden="1" x14ac:dyDescent="0.2">
      <c r="A155" s="51" t="s">
        <v>58</v>
      </c>
      <c r="B155" s="2"/>
      <c r="C155" s="85"/>
      <c r="E155" s="82" t="s">
        <v>58</v>
      </c>
      <c r="F155" s="117"/>
      <c r="G155" s="117"/>
      <c r="H155" s="117"/>
      <c r="I155" s="83"/>
      <c r="J155" s="84"/>
      <c r="K155" s="3"/>
      <c r="L155" s="3"/>
      <c r="M155" s="3"/>
      <c r="N155" s="3"/>
      <c r="O155" s="3"/>
    </row>
    <row r="156" spans="1:15" ht="12.75" hidden="1" x14ac:dyDescent="0.2">
      <c r="A156" s="51" t="s">
        <v>63</v>
      </c>
      <c r="B156" s="2"/>
      <c r="C156" s="85"/>
      <c r="D156" s="2"/>
      <c r="E156" s="82" t="s">
        <v>58</v>
      </c>
      <c r="F156" s="117"/>
      <c r="G156" s="117"/>
      <c r="H156" s="117"/>
      <c r="K156" s="3"/>
      <c r="L156" s="3"/>
      <c r="M156" s="3"/>
      <c r="N156" s="3"/>
      <c r="O156" s="3"/>
    </row>
    <row r="157" spans="1:15" ht="13.5" thickBot="1" x14ac:dyDescent="0.25">
      <c r="A157" s="86" t="s">
        <v>64</v>
      </c>
      <c r="B157" s="2"/>
      <c r="C157" s="87">
        <f>IFERROR(IF(H30&gt;0,ROUND(S55-SUM(C53:C156)-V37,0),ROUND(S55-H49/SUM(S53:S55)*S55-SUM(C53:C156),0)),0)</f>
        <v>188</v>
      </c>
      <c r="D157" s="2"/>
      <c r="E157" s="88" t="s">
        <v>65</v>
      </c>
      <c r="F157" s="122">
        <f>H50-SUM(F57:H156)</f>
        <v>105</v>
      </c>
      <c r="G157" s="122"/>
      <c r="H157" s="122"/>
      <c r="K157" s="3"/>
      <c r="L157" s="3"/>
      <c r="M157" s="3"/>
      <c r="N157" s="3"/>
      <c r="O157" s="3"/>
    </row>
    <row r="158" spans="1:15" ht="13.5" thickBot="1" x14ac:dyDescent="0.25">
      <c r="A158" s="8" t="s">
        <v>66</v>
      </c>
      <c r="B158" s="2"/>
      <c r="C158" s="89">
        <f>SUM(C53:C157)</f>
        <v>188</v>
      </c>
      <c r="D158" s="2"/>
      <c r="E158" s="78" t="s">
        <v>20</v>
      </c>
      <c r="F158" s="119">
        <f>SUM(F57:H157)</f>
        <v>105</v>
      </c>
      <c r="G158" s="120"/>
      <c r="H158" s="121"/>
      <c r="K158" s="3"/>
      <c r="L158" s="3"/>
      <c r="M158" s="3"/>
      <c r="N158" s="3"/>
      <c r="O158" s="3"/>
    </row>
    <row r="159" spans="1:15" ht="12.75" x14ac:dyDescent="0.2">
      <c r="A159" s="8"/>
      <c r="B159" s="2"/>
      <c r="C159" s="74"/>
      <c r="D159" s="2"/>
      <c r="E159" s="2"/>
      <c r="F159" s="74"/>
      <c r="G159" s="2"/>
      <c r="H159" s="74"/>
      <c r="K159" s="3"/>
      <c r="L159" s="3"/>
      <c r="M159" s="3"/>
      <c r="N159" s="3"/>
      <c r="O159" s="3"/>
    </row>
    <row r="160" spans="1:15" s="2" customFormat="1" ht="12.75" x14ac:dyDescent="0.2">
      <c r="J160" s="3"/>
      <c r="K160" s="3"/>
      <c r="L160" s="3"/>
      <c r="M160" s="3"/>
      <c r="N160" s="3"/>
      <c r="O160" s="3"/>
    </row>
    <row r="161" spans="11:15" ht="12.75" x14ac:dyDescent="0.2">
      <c r="K161" s="3"/>
      <c r="L161" s="3"/>
      <c r="M161" s="3"/>
      <c r="N161" s="3"/>
      <c r="O161" s="3"/>
    </row>
    <row r="162" spans="11:15" ht="10.9" customHeight="1" x14ac:dyDescent="0.2">
      <c r="K162" s="3"/>
      <c r="L162" s="3"/>
      <c r="M162" s="3"/>
      <c r="N162" s="3"/>
      <c r="O162" s="3"/>
    </row>
  </sheetData>
  <mergeCells count="131">
    <mergeCell ref="F158:H158"/>
    <mergeCell ref="F157:H157"/>
    <mergeCell ref="C28:D28"/>
    <mergeCell ref="F152:H152"/>
    <mergeCell ref="F153:H153"/>
    <mergeCell ref="F154:H154"/>
    <mergeCell ref="F155:H155"/>
    <mergeCell ref="F156:H156"/>
    <mergeCell ref="F147:H147"/>
    <mergeCell ref="F148:H148"/>
    <mergeCell ref="F149:H149"/>
    <mergeCell ref="F150:H150"/>
    <mergeCell ref="F151:H151"/>
    <mergeCell ref="F142:H142"/>
    <mergeCell ref="F143:H143"/>
    <mergeCell ref="F144:H144"/>
    <mergeCell ref="F145:H145"/>
    <mergeCell ref="F146:H146"/>
    <mergeCell ref="F137:H137"/>
    <mergeCell ref="F138:H138"/>
    <mergeCell ref="F139:H139"/>
    <mergeCell ref="F140:H140"/>
    <mergeCell ref="F141:H141"/>
    <mergeCell ref="F132:H132"/>
    <mergeCell ref="F133:H133"/>
    <mergeCell ref="F134:H134"/>
    <mergeCell ref="F135:H135"/>
    <mergeCell ref="F136:H136"/>
    <mergeCell ref="F127:H127"/>
    <mergeCell ref="F128:H128"/>
    <mergeCell ref="F129:H129"/>
    <mergeCell ref="F130:H130"/>
    <mergeCell ref="F131:H131"/>
    <mergeCell ref="F122:H122"/>
    <mergeCell ref="F123:H123"/>
    <mergeCell ref="F124:H124"/>
    <mergeCell ref="F125:H125"/>
    <mergeCell ref="F126:H126"/>
    <mergeCell ref="F117:H117"/>
    <mergeCell ref="F118:H118"/>
    <mergeCell ref="F119:H119"/>
    <mergeCell ref="F120:H120"/>
    <mergeCell ref="F121:H121"/>
    <mergeCell ref="F112:H112"/>
    <mergeCell ref="F113:H113"/>
    <mergeCell ref="F114:H114"/>
    <mergeCell ref="F115:H115"/>
    <mergeCell ref="F116:H116"/>
    <mergeCell ref="F107:H107"/>
    <mergeCell ref="F108:H108"/>
    <mergeCell ref="F109:H109"/>
    <mergeCell ref="F110:H110"/>
    <mergeCell ref="F111:H111"/>
    <mergeCell ref="F102:H102"/>
    <mergeCell ref="F103:H103"/>
    <mergeCell ref="F104:H104"/>
    <mergeCell ref="F105:H105"/>
    <mergeCell ref="F106:H106"/>
    <mergeCell ref="F97:H97"/>
    <mergeCell ref="F98:H98"/>
    <mergeCell ref="F99:H99"/>
    <mergeCell ref="F100:H100"/>
    <mergeCell ref="F101:H101"/>
    <mergeCell ref="F92:H92"/>
    <mergeCell ref="F93:H93"/>
    <mergeCell ref="F94:H94"/>
    <mergeCell ref="F95:H95"/>
    <mergeCell ref="F96:H96"/>
    <mergeCell ref="F87:H87"/>
    <mergeCell ref="F88:H88"/>
    <mergeCell ref="F89:H89"/>
    <mergeCell ref="F90:H90"/>
    <mergeCell ref="F91:H91"/>
    <mergeCell ref="F82:H82"/>
    <mergeCell ref="F83:H83"/>
    <mergeCell ref="F84:H84"/>
    <mergeCell ref="F85:H85"/>
    <mergeCell ref="F86:H86"/>
    <mergeCell ref="F77:H77"/>
    <mergeCell ref="F78:H78"/>
    <mergeCell ref="F79:H79"/>
    <mergeCell ref="F80:H80"/>
    <mergeCell ref="F81:H81"/>
    <mergeCell ref="F72:H72"/>
    <mergeCell ref="F73:H73"/>
    <mergeCell ref="F74:H74"/>
    <mergeCell ref="F75:H75"/>
    <mergeCell ref="F76:H76"/>
    <mergeCell ref="F67:H67"/>
    <mergeCell ref="F68:H68"/>
    <mergeCell ref="F69:H69"/>
    <mergeCell ref="F70:H70"/>
    <mergeCell ref="F71:H71"/>
    <mergeCell ref="F62:H62"/>
    <mergeCell ref="F63:H63"/>
    <mergeCell ref="F64:H64"/>
    <mergeCell ref="F65:H65"/>
    <mergeCell ref="F66:H66"/>
    <mergeCell ref="F57:H57"/>
    <mergeCell ref="F58:H58"/>
    <mergeCell ref="F59:H59"/>
    <mergeCell ref="F60:H60"/>
    <mergeCell ref="F61:H61"/>
    <mergeCell ref="K37:O40"/>
    <mergeCell ref="F52:G53"/>
    <mergeCell ref="K52:O56"/>
    <mergeCell ref="E54:H55"/>
    <mergeCell ref="E56:H56"/>
    <mergeCell ref="F47:G48"/>
    <mergeCell ref="H47:H48"/>
    <mergeCell ref="K27:O29"/>
    <mergeCell ref="C29:D29"/>
    <mergeCell ref="C30:D30"/>
    <mergeCell ref="C31:D31"/>
    <mergeCell ref="F31:H31"/>
    <mergeCell ref="C32:D32"/>
    <mergeCell ref="K31:O34"/>
    <mergeCell ref="K22:O24"/>
    <mergeCell ref="F23:G24"/>
    <mergeCell ref="H23:H24"/>
    <mergeCell ref="D2:E2"/>
    <mergeCell ref="B5:D5"/>
    <mergeCell ref="G5:H5"/>
    <mergeCell ref="B6:D6"/>
    <mergeCell ref="G6:H6"/>
    <mergeCell ref="B7:D7"/>
    <mergeCell ref="K11:O15"/>
    <mergeCell ref="C12:D12"/>
    <mergeCell ref="K16:O19"/>
    <mergeCell ref="F20:G21"/>
    <mergeCell ref="H20:H21"/>
  </mergeCells>
  <conditionalFormatting sqref="C33">
    <cfRule type="cellIs" dxfId="75" priority="20" operator="equal">
      <formula>$A$33&lt;&gt;"Aantal uur verlof"</formula>
    </cfRule>
    <cfRule type="cellIs" dxfId="74" priority="21" operator="equal">
      <formula>""""""</formula>
    </cfRule>
    <cfRule type="cellIs" dxfId="73" priority="22" operator="between">
      <formula>1</formula>
      <formula>500</formula>
    </cfRule>
  </conditionalFormatting>
  <conditionalFormatting sqref="C47">
    <cfRule type="cellIs" dxfId="72" priority="17" operator="equal">
      <formula>$D$47&lt;&gt;"Niet toegestaan"</formula>
    </cfRule>
  </conditionalFormatting>
  <conditionalFormatting sqref="C32:D32">
    <cfRule type="containsText" dxfId="71" priority="18" operator="containsText" text="e">
      <formula>NOT(ISERROR(SEARCH("e",C32)))</formula>
    </cfRule>
    <cfRule type="cellIs" dxfId="70" priority="19" operator="equal">
      <formula>$A$32&lt;&gt;"Recht duurzame inzetbaarheid"</formula>
    </cfRule>
  </conditionalFormatting>
  <conditionalFormatting sqref="D33">
    <cfRule type="cellIs" dxfId="68" priority="4" operator="equal">
      <formula>""""</formula>
    </cfRule>
    <cfRule type="cellIs" dxfId="67" priority="5" operator="between">
      <formula>0</formula>
      <formula>100</formula>
    </cfRule>
  </conditionalFormatting>
  <conditionalFormatting sqref="F157">
    <cfRule type="cellIs" dxfId="66" priority="1" operator="lessThan">
      <formula>0</formula>
    </cfRule>
  </conditionalFormatting>
  <conditionalFormatting sqref="F33:H33">
    <cfRule type="cellIs" dxfId="65" priority="8" operator="between">
      <formula>0.0001</formula>
      <formula>99999</formula>
    </cfRule>
  </conditionalFormatting>
  <conditionalFormatting sqref="G33:H33">
    <cfRule type="cellIs" dxfId="64" priority="6" operator="equal">
      <formula>$F$30&lt;&gt;"Werktijdfactor verlof"</formula>
    </cfRule>
  </conditionalFormatting>
  <conditionalFormatting sqref="H19">
    <cfRule type="cellIs" dxfId="63" priority="13" operator="equal">
      <formula>$C$33&lt;&gt;"=&gt;0"</formula>
    </cfRule>
  </conditionalFormatting>
  <conditionalFormatting sqref="H20:H21">
    <cfRule type="containsText" dxfId="62" priority="11" operator="containsText" text="u">
      <formula>NOT(ISERROR(SEARCH("u",H20)))</formula>
    </cfRule>
    <cfRule type="cellIs" dxfId="61" priority="14" operator="equal">
      <formula>$F$32&lt;&gt;"Lesuren"</formula>
    </cfRule>
  </conditionalFormatting>
  <conditionalFormatting sqref="H22">
    <cfRule type="cellIs" dxfId="60" priority="12" operator="equal">
      <formula>$C$33&lt;&gt;"&gt;0"</formula>
    </cfRule>
  </conditionalFormatting>
  <conditionalFormatting sqref="H29">
    <cfRule type="cellIs" dxfId="59" priority="15" operator="equal">
      <formula>$C$29&lt;&gt;"Ja"</formula>
    </cfRule>
    <cfRule type="cellIs" dxfId="58" priority="16" operator="between">
      <formula>1</formula>
      <formula>1300</formula>
    </cfRule>
  </conditionalFormatting>
  <conditionalFormatting sqref="H30">
    <cfRule type="cellIs" dxfId="57" priority="9" operator="equal">
      <formula>$C$30&lt;&gt;"Ja"</formula>
    </cfRule>
    <cfRule type="cellIs" dxfId="56" priority="10" operator="between">
      <formula>0.0001</formula>
      <formula>2</formula>
    </cfRule>
  </conditionalFormatting>
  <conditionalFormatting sqref="H34">
    <cfRule type="cellIs" dxfId="55" priority="7" operator="equal">
      <formula>$F$30&lt;&gt;"Werktijdfactor verlof"</formula>
    </cfRule>
  </conditionalFormatting>
  <dataValidations count="6">
    <dataValidation allowBlank="1" showInputMessage="1" showErrorMessage="1" errorTitle="Ongeldige invoer" error="Het ingevulde aantal uur verlof overstijgt het totaal aantal lesuren. Kies voor een lager aantal uur verlof." sqref="F33:H33" xr:uid="{00000000-0002-0000-0000-000000000000}"/>
    <dataValidation type="whole" allowBlank="1" showInputMessage="1" showErrorMessage="1" errorTitle="Foutieve invoer" error="Het aantal uur verlof past niet binnen uw budget" sqref="C33" xr:uid="{00000000-0002-0000-0000-000001000000}">
      <formula1>0</formula1>
      <formula2>IF(C32="Overgangsregeling 56+",ROUND(340*LEFT(H23,2)/40,0),IF(C32="Overgangsregeling 52+",ROUND(170*LEFT(H23,2)/40,0),IF(C32="Basis en bijzonder budget",ROUND(170*LEFT(H23,2)/40,0),"")))</formula2>
    </dataValidation>
    <dataValidation type="whole" allowBlank="1" showInputMessage="1" showErrorMessage="1" errorTitle="Foutieve invoer" error="Het aantal uur verlof past niet binnen uw budget" sqref="G35" xr:uid="{00000000-0002-0000-0000-000002000000}">
      <formula1>0</formula1>
      <formula2>IF(#REF!="Overgangsregeling 56+",ROUND(340*LEFT(H26,2)/40,0),IF(#REF!="Overgangsregeling 52+",ROUND(170*LEFT(H26,2)/40,0),IF(#REF!="Basis en bijzonder budget",ROUND(170*LEFT(H26,2)/40,0),"")))</formula2>
    </dataValidation>
    <dataValidation type="decimal" errorStyle="warning" operator="equal" allowBlank="1" showInputMessage="1" showErrorMessage="1" errorTitle="Let op:" error="Het aantal lesuren van deze werknemer wijkt af van het ingevoerde schoolbrede aantal" sqref="G14:G18" xr:uid="{00000000-0002-0000-0000-000003000000}">
      <formula1>C14</formula1>
    </dataValidation>
    <dataValidation type="list" allowBlank="1" showInputMessage="1" showErrorMessage="1" sqref="C29:C30 C28:D28" xr:uid="{00000000-0002-0000-0000-000004000000}">
      <formula1>"Ja,Nee"</formula1>
    </dataValidation>
    <dataValidation type="list" allowBlank="1" showInputMessage="1" showErrorMessage="1" sqref="C32:D32" xr:uid="{00000000-0002-0000-0000-000005000000}">
      <formula1>$T$22:$T$24</formula1>
    </dataValidation>
  </dataValidations>
  <pageMargins left="0.7" right="0.7" top="0.75" bottom="0.75" header="0.3" footer="0.3"/>
  <pageSetup paperSize="9" scale="87"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292205DE-E856-4477-BDA0-61AD6BB26528}">
            <xm:f>NOT(ISERROR(SEARCH($D$34&lt;&gt;"Professionalisering",D33)))</xm:f>
            <xm:f>$D$34&lt;&gt;"Professionalisering"</xm:f>
            <x14:dxf>
              <border>
                <bottom style="thin">
                  <color auto="1"/>
                </bottom>
                <vertical/>
                <horizontal/>
              </border>
            </x14:dxf>
          </x14:cfRule>
          <xm:sqref>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V111"/>
  <sheetViews>
    <sheetView topLeftCell="A22" zoomScaleNormal="100" workbookViewId="0">
      <selection activeCell="A48" sqref="A48:I48"/>
    </sheetView>
  </sheetViews>
  <sheetFormatPr defaultColWidth="0" defaultRowHeight="12.75" customHeight="1" zeroHeight="1" x14ac:dyDescent="0.2"/>
  <cols>
    <col min="1" max="1" width="27" style="4" customWidth="1"/>
    <col min="2" max="4" width="11.28515625" style="4" customWidth="1"/>
    <col min="5" max="5" width="7.5703125" style="4" customWidth="1"/>
    <col min="6" max="7" width="14.28515625" style="4" customWidth="1"/>
    <col min="8" max="8" width="14.42578125" style="4" customWidth="1"/>
    <col min="9" max="9" width="1.42578125" style="2" customWidth="1"/>
    <col min="10" max="10" width="2" style="3" customWidth="1"/>
    <col min="11" max="15" width="13.7109375" style="3" customWidth="1"/>
    <col min="16" max="17" width="13.7109375" style="2" hidden="1" customWidth="1"/>
    <col min="18" max="18" width="10.28515625" style="4" hidden="1" customWidth="1"/>
    <col min="19" max="19" width="9.42578125" style="4" hidden="1" customWidth="1"/>
    <col min="20" max="20" width="10.140625" style="4" hidden="1" customWidth="1"/>
    <col min="21" max="16384" width="9.28515625" style="4" hidden="1"/>
  </cols>
  <sheetData>
    <row r="1" spans="1:21" ht="12.75" customHeight="1" x14ac:dyDescent="0.2">
      <c r="A1" s="1" t="str">
        <f>'wtf OP, obv lesuren'!A1</f>
        <v>Versie januari 2025</v>
      </c>
      <c r="B1" s="2"/>
      <c r="C1" s="2"/>
      <c r="D1" s="2"/>
      <c r="E1" s="2"/>
      <c r="F1" s="2"/>
      <c r="G1" s="2"/>
      <c r="H1" s="2"/>
    </row>
    <row r="2" spans="1:21" ht="18" x14ac:dyDescent="0.25">
      <c r="A2" s="123" t="s">
        <v>67</v>
      </c>
      <c r="B2" s="2"/>
      <c r="C2" s="94" t="s">
        <v>101</v>
      </c>
      <c r="D2" s="95"/>
      <c r="E2" s="2"/>
      <c r="F2" s="2"/>
      <c r="G2" s="2"/>
      <c r="H2" s="2"/>
      <c r="U2" s="6"/>
    </row>
    <row r="3" spans="1:21" x14ac:dyDescent="0.2">
      <c r="A3" s="2"/>
      <c r="B3" s="2"/>
      <c r="C3" s="2"/>
      <c r="D3" s="2"/>
      <c r="E3" s="2"/>
      <c r="F3" s="2"/>
      <c r="G3" s="2"/>
      <c r="H3" s="2"/>
    </row>
    <row r="4" spans="1:21" x14ac:dyDescent="0.2">
      <c r="A4" s="7" t="s">
        <v>1</v>
      </c>
      <c r="B4" s="2"/>
      <c r="C4" s="2"/>
      <c r="D4" s="2"/>
      <c r="E4" s="7" t="s">
        <v>2</v>
      </c>
      <c r="F4" s="2"/>
      <c r="G4" s="2"/>
    </row>
    <row r="5" spans="1:21" x14ac:dyDescent="0.2">
      <c r="A5" s="2" t="s">
        <v>3</v>
      </c>
      <c r="B5" s="96"/>
      <c r="C5" s="96"/>
      <c r="D5" s="96"/>
      <c r="E5" s="2" t="s">
        <v>4</v>
      </c>
      <c r="F5" s="96"/>
      <c r="G5" s="96"/>
      <c r="H5" s="96"/>
      <c r="I5" s="96"/>
    </row>
    <row r="6" spans="1:21" x14ac:dyDescent="0.2">
      <c r="A6" s="2" t="s">
        <v>5</v>
      </c>
      <c r="B6" s="96"/>
      <c r="C6" s="96"/>
      <c r="D6" s="96"/>
      <c r="E6" s="2" t="s">
        <v>6</v>
      </c>
      <c r="F6" s="96"/>
      <c r="G6" s="96"/>
      <c r="H6" s="96"/>
      <c r="I6" s="96"/>
    </row>
    <row r="7" spans="1:21" x14ac:dyDescent="0.2">
      <c r="A7" s="2" t="s">
        <v>7</v>
      </c>
      <c r="B7" s="97"/>
      <c r="C7" s="96"/>
      <c r="D7" s="96"/>
      <c r="E7" s="2"/>
      <c r="F7" s="2"/>
      <c r="G7" s="2"/>
      <c r="H7" s="2"/>
      <c r="U7" s="8"/>
    </row>
    <row r="8" spans="1:21" x14ac:dyDescent="0.2">
      <c r="A8" s="2" t="s">
        <v>68</v>
      </c>
      <c r="B8" s="124"/>
      <c r="C8" s="124"/>
      <c r="D8" s="124"/>
      <c r="E8" s="124"/>
      <c r="F8" s="124"/>
      <c r="G8" s="124"/>
      <c r="H8" s="124"/>
      <c r="I8" s="124"/>
      <c r="U8" s="8"/>
    </row>
    <row r="9" spans="1:21" x14ac:dyDescent="0.2">
      <c r="A9" s="2"/>
      <c r="B9" s="9"/>
      <c r="C9" s="2"/>
      <c r="D9" s="2"/>
      <c r="E9" s="2"/>
      <c r="F9" s="2"/>
      <c r="G9" s="2"/>
      <c r="H9" s="20" t="e">
        <f>40/(940/C10)</f>
        <v>#DIV/0!</v>
      </c>
      <c r="U9" s="8"/>
    </row>
    <row r="10" spans="1:21" x14ac:dyDescent="0.2">
      <c r="A10" s="2" t="s">
        <v>103</v>
      </c>
      <c r="B10" s="8"/>
      <c r="C10" s="10"/>
      <c r="E10" s="2" t="s">
        <v>8</v>
      </c>
      <c r="F10" s="2"/>
      <c r="H10" s="11"/>
      <c r="U10" s="8"/>
    </row>
    <row r="11" spans="1:21" x14ac:dyDescent="0.2">
      <c r="A11" s="168"/>
      <c r="B11" s="168"/>
      <c r="C11" s="168"/>
      <c r="D11" s="168"/>
      <c r="E11" s="168"/>
      <c r="F11" s="168"/>
      <c r="G11" s="168"/>
      <c r="H11" s="168"/>
      <c r="I11" s="168"/>
      <c r="J11" s="169"/>
      <c r="K11" s="170" t="s">
        <v>9</v>
      </c>
      <c r="L11" s="169"/>
      <c r="M11" s="169"/>
      <c r="N11" s="169"/>
      <c r="O11" s="169"/>
    </row>
    <row r="12" spans="1:21" x14ac:dyDescent="0.2">
      <c r="A12" s="2"/>
      <c r="B12" s="2"/>
      <c r="C12" s="2"/>
      <c r="D12" s="2"/>
      <c r="E12" s="2"/>
      <c r="F12" s="2"/>
      <c r="G12" s="2"/>
      <c r="H12" s="2"/>
      <c r="K12" s="167" t="s">
        <v>69</v>
      </c>
      <c r="L12" s="167"/>
      <c r="M12" s="167"/>
      <c r="N12" s="167"/>
      <c r="O12" s="167"/>
      <c r="P12" s="13"/>
      <c r="Q12" s="13"/>
    </row>
    <row r="13" spans="1:21" ht="14.25" customHeight="1" x14ac:dyDescent="0.2">
      <c r="A13" s="125" t="s">
        <v>70</v>
      </c>
      <c r="B13" s="126"/>
      <c r="C13" s="2"/>
      <c r="D13" s="2"/>
      <c r="E13" s="2"/>
      <c r="F13" s="2"/>
      <c r="G13" s="2"/>
      <c r="I13" s="20"/>
      <c r="K13" s="90"/>
      <c r="L13" s="90"/>
      <c r="M13" s="90"/>
      <c r="N13" s="90"/>
      <c r="O13" s="90"/>
      <c r="P13" s="13"/>
      <c r="Q13" s="13"/>
    </row>
    <row r="14" spans="1:21" ht="14.25" customHeight="1" x14ac:dyDescent="0.2">
      <c r="A14" s="125"/>
      <c r="B14" s="126"/>
      <c r="C14" s="2"/>
      <c r="D14" s="2"/>
      <c r="E14" s="2"/>
      <c r="F14" s="2"/>
      <c r="G14" s="2"/>
      <c r="H14" s="20"/>
      <c r="I14" s="20"/>
      <c r="K14" s="90"/>
      <c r="L14" s="90"/>
      <c r="M14" s="90"/>
      <c r="N14" s="90"/>
      <c r="O14" s="90"/>
      <c r="P14" s="13"/>
      <c r="Q14" s="13"/>
    </row>
    <row r="15" spans="1:21" x14ac:dyDescent="0.2">
      <c r="A15" s="8"/>
      <c r="B15" s="127" t="s">
        <v>71</v>
      </c>
      <c r="C15" s="127"/>
      <c r="D15" s="127"/>
      <c r="E15" s="2"/>
      <c r="F15" s="127" t="s">
        <v>72</v>
      </c>
      <c r="G15" s="127"/>
      <c r="H15" s="127"/>
      <c r="I15" s="128"/>
      <c r="K15" s="90"/>
      <c r="L15" s="90"/>
      <c r="M15" s="90"/>
      <c r="N15" s="90"/>
      <c r="O15" s="90"/>
      <c r="P15" s="13"/>
      <c r="Q15" s="13"/>
    </row>
    <row r="16" spans="1:21" ht="12.75" customHeight="1" x14ac:dyDescent="0.2">
      <c r="A16" s="18"/>
      <c r="B16" s="129" t="s">
        <v>73</v>
      </c>
      <c r="C16" s="130" t="s">
        <v>105</v>
      </c>
      <c r="D16" s="130"/>
      <c r="E16" s="131"/>
      <c r="F16" s="129" t="s">
        <v>73</v>
      </c>
      <c r="G16" s="130" t="s">
        <v>105</v>
      </c>
      <c r="H16" s="130"/>
      <c r="I16" s="132"/>
      <c r="K16" s="133" t="s">
        <v>106</v>
      </c>
      <c r="L16" s="133"/>
      <c r="M16" s="133"/>
      <c r="N16" s="133"/>
      <c r="O16" s="133"/>
      <c r="P16" s="13"/>
      <c r="Q16" s="13"/>
    </row>
    <row r="17" spans="1:20" ht="12.75" customHeight="1" x14ac:dyDescent="0.2">
      <c r="A17" s="18"/>
      <c r="B17" s="134"/>
      <c r="C17" s="19" t="s">
        <v>74</v>
      </c>
      <c r="D17" s="131" t="s">
        <v>75</v>
      </c>
      <c r="E17" s="131"/>
      <c r="F17" s="134"/>
      <c r="G17" s="19" t="s">
        <v>74</v>
      </c>
      <c r="H17" s="131" t="s">
        <v>75</v>
      </c>
      <c r="I17" s="131"/>
      <c r="K17" s="133"/>
      <c r="L17" s="133"/>
      <c r="M17" s="133"/>
      <c r="N17" s="133"/>
      <c r="O17" s="133"/>
      <c r="P17" s="13"/>
      <c r="Q17" s="13"/>
    </row>
    <row r="18" spans="1:20" ht="12.75" customHeight="1" x14ac:dyDescent="0.2">
      <c r="A18" s="135" t="s">
        <v>14</v>
      </c>
      <c r="B18" s="24"/>
      <c r="C18" s="136"/>
      <c r="D18" s="136"/>
      <c r="E18" s="26"/>
      <c r="F18" s="24"/>
      <c r="G18" s="136"/>
      <c r="H18" s="136"/>
      <c r="I18" s="26"/>
      <c r="K18" s="133"/>
      <c r="L18" s="133"/>
      <c r="M18" s="133"/>
      <c r="N18" s="133"/>
      <c r="O18" s="133"/>
      <c r="P18" s="13"/>
      <c r="Q18" s="13"/>
      <c r="R18" s="4" t="e">
        <f>-G34/C10</f>
        <v>#DIV/0!</v>
      </c>
    </row>
    <row r="19" spans="1:20" x14ac:dyDescent="0.2">
      <c r="A19" s="135" t="s">
        <v>15</v>
      </c>
      <c r="B19" s="24"/>
      <c r="C19" s="136"/>
      <c r="D19" s="136"/>
      <c r="E19" s="26"/>
      <c r="F19" s="24"/>
      <c r="G19" s="136"/>
      <c r="H19" s="136"/>
      <c r="I19" s="26"/>
      <c r="K19" s="133"/>
      <c r="L19" s="133"/>
      <c r="M19" s="133"/>
      <c r="N19" s="133"/>
      <c r="O19" s="133"/>
      <c r="P19" s="13"/>
      <c r="Q19" s="13"/>
    </row>
    <row r="20" spans="1:20" ht="12.75" customHeight="1" x14ac:dyDescent="0.2">
      <c r="A20" s="135" t="s">
        <v>16</v>
      </c>
      <c r="B20" s="24"/>
      <c r="C20" s="136"/>
      <c r="D20" s="136"/>
      <c r="E20" s="26"/>
      <c r="F20" s="24"/>
      <c r="G20" s="136"/>
      <c r="H20" s="136"/>
      <c r="I20" s="26"/>
      <c r="K20" s="133"/>
      <c r="L20" s="133"/>
      <c r="M20" s="133"/>
      <c r="N20" s="133"/>
      <c r="O20" s="133"/>
      <c r="P20" s="13"/>
      <c r="Q20" s="13"/>
    </row>
    <row r="21" spans="1:20" ht="12.75" customHeight="1" x14ac:dyDescent="0.2">
      <c r="A21" s="135" t="s">
        <v>18</v>
      </c>
      <c r="B21" s="24"/>
      <c r="C21" s="136"/>
      <c r="D21" s="136"/>
      <c r="E21" s="26"/>
      <c r="F21" s="24"/>
      <c r="G21" s="136"/>
      <c r="H21" s="136"/>
      <c r="I21" s="26"/>
      <c r="K21" s="133"/>
      <c r="L21" s="133"/>
      <c r="M21" s="133"/>
      <c r="N21" s="133"/>
      <c r="O21" s="133"/>
      <c r="P21" s="13"/>
      <c r="Q21" s="13"/>
    </row>
    <row r="22" spans="1:20" ht="12.75" customHeight="1" x14ac:dyDescent="0.2">
      <c r="A22" s="135" t="s">
        <v>19</v>
      </c>
      <c r="B22" s="24"/>
      <c r="C22" s="136"/>
      <c r="D22" s="136"/>
      <c r="E22" s="26"/>
      <c r="F22" s="24"/>
      <c r="G22" s="136"/>
      <c r="H22" s="136"/>
      <c r="I22" s="26"/>
      <c r="K22" s="133"/>
      <c r="L22" s="133"/>
      <c r="M22" s="133"/>
      <c r="N22" s="133"/>
      <c r="O22" s="133"/>
      <c r="P22" s="13"/>
      <c r="Q22" s="13"/>
    </row>
    <row r="23" spans="1:20" x14ac:dyDescent="0.2">
      <c r="A23" s="137" t="s">
        <v>20</v>
      </c>
      <c r="B23" s="30">
        <f>SUM(B18:B22)</f>
        <v>0</v>
      </c>
      <c r="C23" s="138">
        <f>SUM(C18:D22)</f>
        <v>0</v>
      </c>
      <c r="D23" s="138"/>
      <c r="E23" s="31"/>
      <c r="F23" s="30">
        <f>SUM(F18:F22)</f>
        <v>0</v>
      </c>
      <c r="G23" s="138">
        <f>SUM(G18:H22)</f>
        <v>0</v>
      </c>
      <c r="H23" s="138"/>
      <c r="I23" s="31"/>
      <c r="K23" s="133"/>
      <c r="L23" s="133"/>
      <c r="M23" s="133"/>
      <c r="N23" s="133"/>
      <c r="O23" s="133"/>
      <c r="P23" s="13"/>
      <c r="Q23" s="13"/>
    </row>
    <row r="24" spans="1:20" ht="12.75" customHeight="1" x14ac:dyDescent="0.2">
      <c r="A24" s="8"/>
      <c r="B24" s="2"/>
      <c r="C24" s="139" t="str">
        <f>IF(B38&gt;0,"Totaal exclusief verlofuren","")</f>
        <v/>
      </c>
      <c r="D24" s="139"/>
      <c r="E24" s="139"/>
      <c r="F24" s="34" t="str">
        <f>IF(C24="","",C53/C10)</f>
        <v/>
      </c>
      <c r="G24" s="31"/>
      <c r="H24" s="31"/>
      <c r="I24" s="31"/>
      <c r="J24" s="32"/>
      <c r="K24" s="133"/>
      <c r="L24" s="133"/>
      <c r="M24" s="133"/>
      <c r="N24" s="133"/>
      <c r="O24" s="133"/>
      <c r="P24" s="13"/>
      <c r="Q24" s="13"/>
    </row>
    <row r="25" spans="1:20" ht="12.75" customHeight="1" x14ac:dyDescent="0.2">
      <c r="A25" s="8"/>
      <c r="C25" s="33"/>
      <c r="E25" s="19"/>
      <c r="F25" s="99" t="str">
        <f>IF(B38&gt;0,"Werktijdfactor exclusief verlof duurz. inz.:",IF(G35&gt;0,"Werktijdfactor ouderschapsverlof:",""))</f>
        <v/>
      </c>
      <c r="G25" s="99"/>
      <c r="H25" s="100" t="str">
        <f>IF(B38&gt;0,FLOOR((LEFT(H28,2)/40-(G55/1659))*40,1)&amp;" uur"&amp;IF((ROUND(((LEFT(H28,2)/40-(G55/1659))*40-FLOOR((LEFT(H28,2)/40-(G55/1659))*40,1))*60,0))=0,""," en "&amp;ROUND(((LEFT(H28,2)/40-(G55/1659))*40-FLOOR((LEFT(H28,2)/40-(G55/1659))*40,1))*60,0)&amp;" minuten"),IF(G35&gt;0,FLOOR((LEFT(H28,2)/40-(G55/1659))*40,1)&amp;" uur"&amp;IF((ROUND(((LEFT(H28,2)/40-(G55/1659))*40-FLOOR((LEFT(H28,2)/40-(G55/1659))*40,1))*60,0))=0,""," en "&amp;ROUND(((LEFT(H28,2)/40-(G55/1659))*40-FLOOR((LEFT(H28,2)/40-(G55/1659))*40,1))*60,0)&amp;" minuten"),""))</f>
        <v/>
      </c>
      <c r="I25" s="31"/>
      <c r="J25" s="32"/>
      <c r="K25" s="133"/>
      <c r="L25" s="133"/>
      <c r="M25" s="133"/>
      <c r="N25" s="133"/>
      <c r="O25" s="133"/>
      <c r="P25" s="13"/>
      <c r="Q25" s="13"/>
      <c r="S25" s="35">
        <f ca="1">YEAR(NOW())-YEAR(C36)</f>
        <v>126</v>
      </c>
      <c r="T25" s="4">
        <f ca="1">YEAR(NOW())</f>
        <v>2026</v>
      </c>
    </row>
    <row r="26" spans="1:20" x14ac:dyDescent="0.2">
      <c r="A26" s="8"/>
      <c r="B26" s="8"/>
      <c r="C26" s="8"/>
      <c r="D26" s="2"/>
      <c r="E26" s="2"/>
      <c r="F26" s="99"/>
      <c r="G26" s="99"/>
      <c r="H26" s="100"/>
      <c r="I26" s="8"/>
      <c r="K26" s="133"/>
      <c r="L26" s="133"/>
      <c r="M26" s="133"/>
      <c r="N26" s="133"/>
      <c r="O26" s="133"/>
      <c r="P26" s="13"/>
      <c r="Q26" s="13"/>
      <c r="S26" s="40">
        <v>21459</v>
      </c>
      <c r="T26" s="40">
        <f ca="1">DATE((T25-57),MONTH(B36),DAY(B36))</f>
        <v>25203</v>
      </c>
    </row>
    <row r="27" spans="1:20" ht="13.5" customHeight="1" thickBot="1" x14ac:dyDescent="0.25">
      <c r="A27" s="18" t="s">
        <v>21</v>
      </c>
      <c r="B27" s="8"/>
      <c r="C27" s="8"/>
      <c r="D27" s="2"/>
      <c r="E27" s="2"/>
      <c r="F27" s="8"/>
      <c r="G27" s="8"/>
      <c r="H27" s="8"/>
      <c r="I27" s="8"/>
      <c r="K27" s="140"/>
      <c r="L27" s="140"/>
      <c r="M27" s="140"/>
      <c r="N27" s="140"/>
      <c r="O27" s="140"/>
      <c r="P27" s="13"/>
      <c r="Q27" s="13"/>
      <c r="S27" s="40"/>
      <c r="T27" s="4" t="str">
        <f>IF(B36="","",IF(B36&lt;=S26,"Overgangsregeling 56+",IF(B36&lt;=T26,"Basis en bijzonder budget","")))</f>
        <v/>
      </c>
    </row>
    <row r="28" spans="1:20" ht="12.75" customHeight="1" x14ac:dyDescent="0.2">
      <c r="A28" s="178" t="s">
        <v>76</v>
      </c>
      <c r="B28" s="179"/>
      <c r="C28" s="179"/>
      <c r="D28" s="141"/>
      <c r="E28" s="142"/>
      <c r="F28" s="194" t="s">
        <v>24</v>
      </c>
      <c r="G28" s="143"/>
      <c r="H28" s="144">
        <f>IFERROR(ROUND((G23-G34/C10*H26+(D28+D28*H10+D29)/41.475),0)&amp;" uur",0)</f>
        <v>0</v>
      </c>
      <c r="I28" s="178"/>
      <c r="J28" s="195"/>
      <c r="K28" s="182" t="s">
        <v>77</v>
      </c>
      <c r="L28" s="182"/>
      <c r="M28" s="182"/>
      <c r="N28" s="182"/>
      <c r="O28" s="182"/>
      <c r="P28" s="13"/>
      <c r="Q28" s="13"/>
      <c r="T28" s="4" t="str">
        <f>IF(B36="","",IF(B36&lt;=S26,"Basis en bijzonder budget",IF(B36&lt;=T26,"Enkel basis budget","")))</f>
        <v/>
      </c>
    </row>
    <row r="29" spans="1:20" ht="13.5" customHeight="1" thickBot="1" x14ac:dyDescent="0.25">
      <c r="A29" s="178" t="s">
        <v>78</v>
      </c>
      <c r="B29" s="179"/>
      <c r="C29" s="196"/>
      <c r="D29" s="141"/>
      <c r="E29" s="142"/>
      <c r="F29" s="194"/>
      <c r="G29" s="143"/>
      <c r="H29" s="145"/>
      <c r="I29" s="178"/>
      <c r="J29" s="195"/>
      <c r="K29" s="182"/>
      <c r="L29" s="182"/>
      <c r="M29" s="182"/>
      <c r="N29" s="182"/>
      <c r="O29" s="182"/>
      <c r="P29" s="13"/>
      <c r="Q29" s="13"/>
      <c r="R29" s="44"/>
      <c r="T29" s="4" t="str">
        <f>IF(B36="","",IF(B36&lt;=S26,"Enkel basis budget",""))</f>
        <v/>
      </c>
    </row>
    <row r="30" spans="1:20" x14ac:dyDescent="0.2">
      <c r="A30" s="171"/>
      <c r="B30" s="171"/>
      <c r="C30" s="171"/>
      <c r="D30" s="168"/>
      <c r="E30" s="168"/>
      <c r="F30" s="197" t="s">
        <v>26</v>
      </c>
      <c r="G30" s="173"/>
      <c r="H30" s="174" t="str">
        <f>IF(H28=0,"",LEFT(H28,2)/40)</f>
        <v/>
      </c>
      <c r="I30" s="171"/>
      <c r="J30" s="175"/>
      <c r="K30" s="192"/>
      <c r="L30" s="192"/>
      <c r="M30" s="192"/>
      <c r="N30" s="192"/>
      <c r="O30" s="192"/>
      <c r="P30" s="13"/>
      <c r="Q30" s="13"/>
    </row>
    <row r="31" spans="1:20" s="46" customFormat="1" x14ac:dyDescent="0.2">
      <c r="A31" s="8"/>
      <c r="B31" s="8"/>
      <c r="C31" s="8"/>
      <c r="D31" s="2"/>
      <c r="E31" s="2"/>
      <c r="F31" s="8"/>
      <c r="G31" s="8"/>
      <c r="H31" s="8"/>
      <c r="I31" s="8"/>
      <c r="J31" s="37"/>
      <c r="K31" s="193" t="s">
        <v>107</v>
      </c>
      <c r="L31" s="193"/>
      <c r="M31" s="193"/>
      <c r="N31" s="193"/>
      <c r="O31" s="193"/>
      <c r="P31" s="45"/>
      <c r="Q31" s="45"/>
    </row>
    <row r="32" spans="1:20" x14ac:dyDescent="0.2">
      <c r="A32" s="8" t="s">
        <v>27</v>
      </c>
      <c r="B32" s="2"/>
      <c r="C32" s="2"/>
      <c r="D32" s="2"/>
      <c r="E32" s="2"/>
      <c r="F32" s="8"/>
      <c r="G32" s="8"/>
      <c r="H32" s="8"/>
      <c r="I32" s="8"/>
      <c r="K32" s="103"/>
      <c r="L32" s="103"/>
      <c r="M32" s="103"/>
      <c r="N32" s="103"/>
      <c r="O32" s="103"/>
      <c r="S32" s="4" t="s">
        <v>28</v>
      </c>
    </row>
    <row r="33" spans="1:22" x14ac:dyDescent="0.2">
      <c r="A33" s="2" t="s">
        <v>98</v>
      </c>
      <c r="B33" s="109"/>
      <c r="C33" s="109"/>
      <c r="E33" s="2"/>
      <c r="F33" s="8"/>
      <c r="G33" s="8"/>
      <c r="H33" s="8"/>
      <c r="I33" s="8"/>
      <c r="K33" s="57"/>
      <c r="L33" s="57"/>
      <c r="M33" s="57"/>
      <c r="N33" s="57"/>
      <c r="O33" s="57"/>
    </row>
    <row r="34" spans="1:22" x14ac:dyDescent="0.2">
      <c r="A34" s="2" t="str">
        <f>'wtf OP, obv lesuren'!A29</f>
        <v>Vrij geroosterde lesuren</v>
      </c>
      <c r="B34" s="146"/>
      <c r="C34" s="147"/>
      <c r="D34" s="2" t="str">
        <f>IF(B34="ja","Aantal lesuren verlof per jaar","")</f>
        <v/>
      </c>
      <c r="E34" s="8"/>
      <c r="F34" s="8"/>
      <c r="G34" s="47"/>
      <c r="H34" s="2"/>
      <c r="I34" s="8"/>
      <c r="K34" s="57"/>
      <c r="L34" s="57"/>
      <c r="M34" s="57"/>
      <c r="N34" s="57"/>
      <c r="O34" s="57"/>
    </row>
    <row r="35" spans="1:22" x14ac:dyDescent="0.2">
      <c r="A35" s="2" t="s">
        <v>31</v>
      </c>
      <c r="B35" s="146"/>
      <c r="C35" s="147"/>
      <c r="D35" s="2" t="str">
        <f>IF(B35="Ja","Werktijdfactor verlof","")</f>
        <v/>
      </c>
      <c r="E35" s="2"/>
      <c r="F35" s="2"/>
      <c r="G35" s="47"/>
      <c r="H35" s="2"/>
      <c r="I35" s="8"/>
      <c r="K35" s="57"/>
      <c r="L35" s="57"/>
      <c r="M35" s="57"/>
      <c r="N35" s="57"/>
      <c r="O35" s="57"/>
    </row>
    <row r="36" spans="1:22" x14ac:dyDescent="0.2">
      <c r="A36" s="178" t="s">
        <v>32</v>
      </c>
      <c r="B36" s="146"/>
      <c r="C36" s="147"/>
      <c r="D36" s="178"/>
      <c r="E36" s="198" t="str">
        <f>IF(B38&gt;0,"Verdeling uren verlof duurz. inz.","")</f>
        <v/>
      </c>
      <c r="F36" s="198"/>
      <c r="G36" s="198"/>
      <c r="H36" s="198"/>
      <c r="I36" s="178"/>
      <c r="J36" s="181"/>
      <c r="K36" s="167" t="s">
        <v>96</v>
      </c>
      <c r="L36" s="167"/>
      <c r="M36" s="167"/>
      <c r="N36" s="167"/>
      <c r="O36" s="167"/>
      <c r="P36" s="8"/>
      <c r="Q36" s="8"/>
      <c r="R36" s="4">
        <f>2014-1958</f>
        <v>56</v>
      </c>
      <c r="S36" s="4" t="s">
        <v>33</v>
      </c>
    </row>
    <row r="37" spans="1:22" x14ac:dyDescent="0.2">
      <c r="A37" s="178" t="str">
        <f>IF(B36="","",IF($B$36&lt;$S$26,"Recht duurzame inzetbaarheid",IF($B$36&lt;=$T$26,"Recht duurzame inzetbaarheid","")))</f>
        <v/>
      </c>
      <c r="B37" s="199"/>
      <c r="C37" s="199"/>
      <c r="D37" s="196"/>
      <c r="E37" s="178"/>
      <c r="F37" s="184" t="str">
        <f>IF(B38&gt;0,"Lesuren","")</f>
        <v/>
      </c>
      <c r="G37" s="184" t="str">
        <f>IF(B38&gt;0,"v/n-werk","")</f>
        <v/>
      </c>
      <c r="H37" s="184" t="str">
        <f>IF(B38&gt;0,"Taakuren","")</f>
        <v/>
      </c>
      <c r="I37" s="178"/>
      <c r="J37" s="181"/>
      <c r="K37" s="167"/>
      <c r="L37" s="167"/>
      <c r="M37" s="167"/>
      <c r="N37" s="167"/>
      <c r="O37" s="167"/>
      <c r="P37" s="8"/>
      <c r="Q37" s="8"/>
      <c r="S37" s="4" t="s">
        <v>34</v>
      </c>
      <c r="U37" s="53">
        <f>G35*1659</f>
        <v>0</v>
      </c>
      <c r="V37" s="53"/>
    </row>
    <row r="38" spans="1:22" x14ac:dyDescent="0.2">
      <c r="A38" s="178" t="str">
        <f>IF(B37="","",IF(B37="Overgangsregeling 52+","Aantal uur verlof",IF(B37="Overgangsregeling 56+","Aantal uur verlof",IF(B37="Basis en bijzonder budget","Aantal uur verlof",""))))</f>
        <v/>
      </c>
      <c r="B38" s="200"/>
      <c r="C38" s="187" t="str">
        <f>IF(B37="Overgangsregeling 56+",ROUND(170*LEFT(H28,2)/40,0)&amp;" - "&amp;ROUND(340*LEFT(H28,2)/40,0),IF(B37="Overgangsregeling 52+","0 - "&amp;ROUND(170*LEFT(H28,2)/40,0),IF(B37="Basis en bijzonder budget","0 - "&amp;ROUND(170*LEFT(H28,2)/40,0),"")))</f>
        <v/>
      </c>
      <c r="D38" s="178" t="str">
        <f>IF(G35&gt;0,"Lesuren","")</f>
        <v/>
      </c>
      <c r="E38" s="178" t="str">
        <f>IFERROR(ROUND(IF(G35&gt;0,U38*U37,""),0),"")</f>
        <v/>
      </c>
      <c r="F38" s="186"/>
      <c r="G38" s="186"/>
      <c r="H38" s="186"/>
      <c r="I38" s="179"/>
      <c r="J38" s="181"/>
      <c r="K38" s="167"/>
      <c r="L38" s="167"/>
      <c r="M38" s="167"/>
      <c r="N38" s="167"/>
      <c r="O38" s="167"/>
      <c r="P38" s="8"/>
      <c r="Q38" s="8"/>
      <c r="S38" s="55">
        <f>ROUND(F23*C10+D28-G34,0)</f>
        <v>0</v>
      </c>
      <c r="T38" s="53"/>
      <c r="U38" s="56" t="e">
        <f>S38/SUM($S$38:$S$43)</f>
        <v>#DIV/0!</v>
      </c>
      <c r="V38" s="53" t="str">
        <f>IFERROR(U38*$U$37,"")</f>
        <v/>
      </c>
    </row>
    <row r="39" spans="1:22" x14ac:dyDescent="0.2">
      <c r="A39" s="180" t="str">
        <f>IF(G35&gt;0,"Verdeling uren ouderschapsverlof","")</f>
        <v/>
      </c>
      <c r="B39" s="180"/>
      <c r="C39" s="180"/>
      <c r="D39" s="178" t="str">
        <f>IF(G35&gt;0,"v/n-werk","")</f>
        <v/>
      </c>
      <c r="E39" s="178"/>
      <c r="F39" s="148" t="str">
        <f>IFERROR(ROUND(IF(G35&gt;0,U40*U37,""),0),"")</f>
        <v/>
      </c>
      <c r="G39" s="201" t="str">
        <f>IF(B38&gt;0,IF(B38&gt;SUM(F38:H38),"nog "&amp;B38-SUM(F38:H38)&amp;" uur",IF(B38=SUM(F38:H38),"verdeeld","te veel uren")),IF(G35&gt;0,"Taakuren",""))</f>
        <v/>
      </c>
      <c r="H39" s="178" t="str">
        <f>IFERROR(ROUND(IF(G35&gt;0,U43*U37,""),0),"")</f>
        <v/>
      </c>
      <c r="I39" s="179"/>
      <c r="J39" s="181"/>
      <c r="K39" s="167"/>
      <c r="L39" s="167"/>
      <c r="M39" s="167"/>
      <c r="N39" s="167"/>
      <c r="O39" s="167"/>
      <c r="P39" s="8"/>
      <c r="Q39" s="8"/>
      <c r="S39" s="55"/>
      <c r="T39" s="53"/>
      <c r="U39" s="56"/>
      <c r="V39" s="53"/>
    </row>
    <row r="40" spans="1:22" x14ac:dyDescent="0.2">
      <c r="A40" s="168"/>
      <c r="B40" s="171"/>
      <c r="C40" s="171"/>
      <c r="D40" s="188" t="str">
        <f>IF(G35&gt;0,"Professionalisering","")</f>
        <v/>
      </c>
      <c r="E40" s="168"/>
      <c r="F40" s="189" t="str">
        <f>IFERROR(ROUND(IF(G35&gt;0,U41*U37,""),0),"")</f>
        <v/>
      </c>
      <c r="G40" s="202" t="str">
        <f>IF(G35&gt;0,"Duurz. inz.","")</f>
        <v/>
      </c>
      <c r="H40" s="190" t="str">
        <f>IFERROR(ROUND(IF(G35&gt;0,U42*U37,""),0),"")</f>
        <v/>
      </c>
      <c r="I40" s="171"/>
      <c r="J40" s="175"/>
      <c r="K40" s="203"/>
      <c r="L40" s="203"/>
      <c r="M40" s="203"/>
      <c r="N40" s="203"/>
      <c r="O40" s="203"/>
      <c r="P40" s="8"/>
      <c r="Q40" s="8"/>
      <c r="S40" s="53">
        <f>ROUND(S38*H10,0)</f>
        <v>0</v>
      </c>
      <c r="T40" s="55">
        <f>S38+S40</f>
        <v>0</v>
      </c>
      <c r="U40" s="56" t="e">
        <f t="shared" ref="U40:U43" si="0">S40/SUM($S$38:$S$43)</f>
        <v>#DIV/0!</v>
      </c>
      <c r="V40" s="53" t="e">
        <f t="shared" ref="V40:V43" si="1">U40*$U$37</f>
        <v>#DIV/0!</v>
      </c>
    </row>
    <row r="41" spans="1:22" x14ac:dyDescent="0.2">
      <c r="A41" s="2"/>
      <c r="B41" s="8"/>
      <c r="C41" s="8"/>
      <c r="D41" s="2"/>
      <c r="E41" s="2"/>
      <c r="F41" s="8"/>
      <c r="G41" s="8"/>
      <c r="H41" s="8"/>
      <c r="I41" s="8"/>
      <c r="J41" s="37"/>
      <c r="K41" s="8"/>
      <c r="L41" s="8"/>
      <c r="M41" s="8"/>
      <c r="N41" s="8"/>
      <c r="O41" s="8"/>
      <c r="P41" s="8"/>
      <c r="Q41" s="8"/>
      <c r="S41" s="55">
        <f>ROUND(LEFT(H28,2)/40*2*41.475,0)</f>
        <v>0</v>
      </c>
      <c r="T41" s="53"/>
      <c r="U41" s="56" t="e">
        <f t="shared" si="0"/>
        <v>#DIV/0!</v>
      </c>
      <c r="V41" s="53" t="e">
        <f t="shared" si="1"/>
        <v>#DIV/0!</v>
      </c>
    </row>
    <row r="42" spans="1:22" x14ac:dyDescent="0.2">
      <c r="A42" s="8" t="s">
        <v>35</v>
      </c>
      <c r="B42" s="8"/>
      <c r="C42" s="8"/>
      <c r="D42" s="2"/>
      <c r="E42" s="2"/>
      <c r="F42" s="8"/>
      <c r="G42" s="8"/>
      <c r="H42" s="8"/>
      <c r="I42" s="8"/>
      <c r="J42" s="37"/>
      <c r="K42" s="101" t="s">
        <v>37</v>
      </c>
      <c r="L42" s="101"/>
      <c r="M42" s="101"/>
      <c r="N42" s="101"/>
      <c r="O42" s="101"/>
      <c r="P42" s="74">
        <f>C56+C103+G56</f>
        <v>0</v>
      </c>
      <c r="Q42" s="8"/>
      <c r="R42" s="4" t="str">
        <f>IF(B38&gt;0,IF(B38&gt;SUM(F38:H38),"nog "&amp;B38-SUM(F38:H38)&amp;" uren te vullen",IF(B38=SUM(F38:H38),"verlof is verdeeld","te veel verlofuren ingevuld")),"")</f>
        <v/>
      </c>
      <c r="S42" s="55">
        <f>ROUND(IF(A38="",ROUND(LEFT(H28,2)/40*40,0),ROUND(VLOOKUP(B37,$S$52:$T$56,2,FALSE)*LEFT(H28,2)/40,0))-B38,0)</f>
        <v>0</v>
      </c>
      <c r="T42" s="53"/>
      <c r="U42" s="56" t="e">
        <f t="shared" si="0"/>
        <v>#DIV/0!</v>
      </c>
      <c r="V42" s="53" t="e">
        <f t="shared" si="1"/>
        <v>#DIV/0!</v>
      </c>
    </row>
    <row r="43" spans="1:22" x14ac:dyDescent="0.2">
      <c r="A43" s="51" t="s">
        <v>36</v>
      </c>
      <c r="B43" s="8"/>
      <c r="C43" s="149"/>
      <c r="D43" s="2"/>
      <c r="E43" s="2"/>
      <c r="F43" s="8"/>
      <c r="G43" s="8"/>
      <c r="H43" s="8"/>
      <c r="I43" s="8"/>
      <c r="J43" s="37"/>
      <c r="K43" s="101"/>
      <c r="L43" s="101"/>
      <c r="M43" s="101"/>
      <c r="N43" s="101"/>
      <c r="O43" s="101"/>
      <c r="P43" s="8"/>
      <c r="Q43" s="8"/>
      <c r="S43" s="53">
        <f>IFERROR(ROUND(T60,0),0)</f>
        <v>0</v>
      </c>
      <c r="T43" s="53"/>
      <c r="U43" s="56" t="e">
        <f t="shared" si="0"/>
        <v>#DIV/0!</v>
      </c>
      <c r="V43" s="53" t="e">
        <f t="shared" si="1"/>
        <v>#DIV/0!</v>
      </c>
    </row>
    <row r="44" spans="1:22" x14ac:dyDescent="0.2">
      <c r="A44" s="51" t="s">
        <v>38</v>
      </c>
      <c r="B44" s="8"/>
      <c r="C44" s="149"/>
      <c r="D44" s="2"/>
      <c r="E44" s="2"/>
      <c r="F44" s="8"/>
      <c r="G44" s="8"/>
      <c r="H44" s="8"/>
      <c r="I44" s="8"/>
      <c r="J44" s="37"/>
      <c r="K44" s="101"/>
      <c r="L44" s="101"/>
      <c r="M44" s="101"/>
      <c r="N44" s="101"/>
      <c r="O44" s="101"/>
    </row>
    <row r="45" spans="1:22" x14ac:dyDescent="0.2">
      <c r="A45" s="51" t="s">
        <v>39</v>
      </c>
      <c r="B45" s="8"/>
      <c r="C45" s="149"/>
      <c r="D45" s="2"/>
      <c r="E45" s="2"/>
      <c r="F45" s="8"/>
      <c r="G45" s="8"/>
      <c r="H45" s="8"/>
      <c r="I45" s="8"/>
      <c r="J45" s="37"/>
      <c r="K45" s="101"/>
      <c r="L45" s="101"/>
      <c r="M45" s="101"/>
      <c r="N45" s="101"/>
      <c r="O45" s="101"/>
      <c r="P45" s="8"/>
      <c r="Q45" s="8"/>
    </row>
    <row r="46" spans="1:22" x14ac:dyDescent="0.2">
      <c r="A46" s="51" t="s">
        <v>40</v>
      </c>
      <c r="B46" s="8"/>
      <c r="C46" s="149"/>
      <c r="D46" s="2"/>
      <c r="E46" s="2"/>
      <c r="F46" s="8"/>
      <c r="G46" s="8"/>
      <c r="H46" s="8"/>
      <c r="I46" s="8"/>
      <c r="J46" s="37"/>
      <c r="K46" s="37"/>
      <c r="L46" s="37"/>
      <c r="M46" s="37"/>
      <c r="N46" s="37"/>
      <c r="O46" s="37"/>
      <c r="P46" s="8"/>
      <c r="Q46" s="8"/>
    </row>
    <row r="47" spans="1:22" x14ac:dyDescent="0.2">
      <c r="A47" s="8" t="s">
        <v>20</v>
      </c>
      <c r="B47" s="8"/>
      <c r="C47" s="59">
        <f>SUM(C43:C46)</f>
        <v>0</v>
      </c>
      <c r="D47" s="2"/>
      <c r="E47" s="2"/>
      <c r="F47" s="8"/>
      <c r="G47" s="8"/>
      <c r="H47" s="8"/>
      <c r="I47" s="8"/>
      <c r="J47" s="37"/>
      <c r="K47" s="37"/>
      <c r="L47" s="37"/>
      <c r="M47" s="37"/>
      <c r="N47" s="37"/>
      <c r="O47" s="37"/>
      <c r="P47" s="8"/>
      <c r="Q47" s="8"/>
    </row>
    <row r="48" spans="1:22" ht="13.5" thickBot="1" x14ac:dyDescent="0.25">
      <c r="A48" s="168"/>
      <c r="B48" s="171"/>
      <c r="C48" s="171"/>
      <c r="D48" s="168"/>
      <c r="E48" s="168"/>
      <c r="F48" s="171"/>
      <c r="G48" s="171"/>
      <c r="H48" s="171"/>
      <c r="I48" s="171"/>
      <c r="J48" s="150"/>
      <c r="K48" s="37"/>
      <c r="L48" s="37"/>
      <c r="M48" s="37"/>
      <c r="N48" s="37"/>
      <c r="O48" s="37"/>
      <c r="P48" s="8"/>
      <c r="Q48" s="8"/>
    </row>
    <row r="49" spans="1:20" x14ac:dyDescent="0.2">
      <c r="A49" s="8"/>
      <c r="B49" s="8"/>
      <c r="C49" s="8"/>
      <c r="D49" s="2"/>
      <c r="E49" s="2"/>
      <c r="F49" s="8"/>
      <c r="G49" s="8"/>
      <c r="H49" s="14"/>
      <c r="I49" s="14"/>
      <c r="S49" s="4" t="str">
        <f>IF(B37="Overgangsregeling 56+",ROUND(340*LEFT(H28,2)/40,0),IF(B37="Overgangsregeling 52+",ROUND(170*LEFT(H28,2)/40,0),IF(B37="Basis en bijzonder budget",ROUND(170*LEFT(H28,2)/40,0),"")))</f>
        <v/>
      </c>
    </row>
    <row r="50" spans="1:20" x14ac:dyDescent="0.2">
      <c r="A50" s="14" t="s">
        <v>41</v>
      </c>
      <c r="B50" s="8"/>
      <c r="C50" s="8"/>
      <c r="D50" s="2"/>
      <c r="E50" s="2"/>
      <c r="F50" s="8"/>
      <c r="G50" s="8"/>
      <c r="H50" s="14"/>
      <c r="I50" s="14"/>
    </row>
    <row r="51" spans="1:20" x14ac:dyDescent="0.2">
      <c r="A51" s="14"/>
      <c r="B51" s="8"/>
      <c r="C51" s="8"/>
      <c r="D51" s="2"/>
      <c r="E51" s="2"/>
      <c r="F51" s="8"/>
      <c r="G51" s="14"/>
      <c r="H51" s="14"/>
      <c r="I51" s="14"/>
    </row>
    <row r="52" spans="1:20" x14ac:dyDescent="0.2">
      <c r="A52" s="14" t="s">
        <v>42</v>
      </c>
      <c r="B52" s="2"/>
      <c r="C52" s="8"/>
      <c r="E52" s="63" t="s">
        <v>43</v>
      </c>
      <c r="F52" s="8"/>
      <c r="G52" s="14"/>
      <c r="H52" s="2"/>
      <c r="S52" s="4" t="s">
        <v>44</v>
      </c>
      <c r="T52" s="4">
        <f>130+123</f>
        <v>253</v>
      </c>
    </row>
    <row r="53" spans="1:20" x14ac:dyDescent="0.2">
      <c r="A53" s="2" t="s">
        <v>45</v>
      </c>
      <c r="C53" s="69">
        <f>IFERROR(ROUND(IF(G35&gt;0,T58-V38,T58-F38),0),0)</f>
        <v>0</v>
      </c>
      <c r="D53" s="65"/>
      <c r="E53" s="107" t="str">
        <f>IF(B33="Ja","PDI incl. uren startende werknemer","Professionalisering en duurzame inzetbaarheid")</f>
        <v>Professionalisering en duurzame inzetbaarheid</v>
      </c>
      <c r="F53" s="107"/>
      <c r="G53" s="108">
        <f>IFERROR(ROUND(IF(A38="",ROUND(LEFT(H28,2)/40*IF(B33="Ja",163,123),0),ROUND(VLOOKUP(B37,$S$52:$T$56,2,FALSE)*LEFT(H28,2)/40,0))-B38-V42,0),0)</f>
        <v>0</v>
      </c>
      <c r="H53" s="2"/>
      <c r="S53" s="4" t="s">
        <v>46</v>
      </c>
      <c r="T53" s="4">
        <f>340+123</f>
        <v>463</v>
      </c>
    </row>
    <row r="54" spans="1:20" x14ac:dyDescent="0.2">
      <c r="A54" s="2" t="s">
        <v>47</v>
      </c>
      <c r="B54" s="2"/>
      <c r="C54" s="69">
        <f>IFERROR(ROUND(IF(G35&gt;0,T59-V40,IF(B38&gt;0,T59-G38,T59)),0),0)</f>
        <v>0</v>
      </c>
      <c r="D54" s="64"/>
      <c r="E54" s="107"/>
      <c r="F54" s="107"/>
      <c r="G54" s="108"/>
      <c r="H54" s="68"/>
      <c r="I54" s="68"/>
      <c r="K54" s="67"/>
      <c r="L54" s="67"/>
      <c r="M54" s="67"/>
      <c r="N54" s="67"/>
      <c r="O54" s="67"/>
      <c r="P54" s="68"/>
      <c r="Q54" s="68"/>
      <c r="S54" s="4" t="s">
        <v>48</v>
      </c>
      <c r="T54" s="4">
        <f>130+123</f>
        <v>253</v>
      </c>
    </row>
    <row r="55" spans="1:20" ht="13.5" thickBot="1" x14ac:dyDescent="0.25">
      <c r="A55" s="2" t="s">
        <v>49</v>
      </c>
      <c r="B55" s="2"/>
      <c r="C55" s="69">
        <f>C47</f>
        <v>0</v>
      </c>
      <c r="D55" s="64"/>
      <c r="E55" s="2" t="str">
        <f>IF(B38&gt;0,"Verlof duurz. inz.",IF(G35&gt;0,"Ouderschapsverlof",""))</f>
        <v/>
      </c>
      <c r="F55" s="2"/>
      <c r="G55" s="62">
        <f>ROUND(IF(E55="",0,IF(B38&gt;0,B38,U37)),0)</f>
        <v>0</v>
      </c>
      <c r="H55" s="68"/>
      <c r="I55" s="68"/>
      <c r="K55" s="67"/>
      <c r="L55" s="67"/>
      <c r="M55" s="67"/>
      <c r="N55" s="67"/>
      <c r="O55" s="67"/>
      <c r="P55" s="68"/>
      <c r="Q55" s="151">
        <f>C103+G56+C56</f>
        <v>0</v>
      </c>
    </row>
    <row r="56" spans="1:20" ht="13.5" thickBot="1" x14ac:dyDescent="0.25">
      <c r="A56" s="8" t="s">
        <v>50</v>
      </c>
      <c r="B56" s="8"/>
      <c r="C56" s="152">
        <f>SUM(C53:C55)</f>
        <v>0</v>
      </c>
      <c r="D56" s="72"/>
      <c r="E56" s="8" t="s">
        <v>20</v>
      </c>
      <c r="F56" s="14"/>
      <c r="G56" s="73">
        <f>SUM(G53:G55)</f>
        <v>0</v>
      </c>
      <c r="H56" s="2"/>
      <c r="S56" s="4" t="s">
        <v>51</v>
      </c>
      <c r="T56" s="4">
        <v>123</v>
      </c>
    </row>
    <row r="57" spans="1:20" x14ac:dyDescent="0.2">
      <c r="A57" s="50"/>
      <c r="B57" s="8"/>
      <c r="C57" s="72"/>
      <c r="D57" s="8"/>
      <c r="E57" s="8"/>
      <c r="F57" s="14"/>
      <c r="G57" s="14"/>
      <c r="H57" s="2"/>
    </row>
    <row r="58" spans="1:20" x14ac:dyDescent="0.2">
      <c r="A58" s="14" t="s">
        <v>52</v>
      </c>
      <c r="C58" s="8"/>
      <c r="D58" s="72"/>
      <c r="E58" s="102" t="str">
        <f>IF(C102&lt;0,"LET OP:","")</f>
        <v/>
      </c>
      <c r="F58" s="102"/>
      <c r="G58" s="102"/>
      <c r="H58" s="102"/>
      <c r="K58" s="103" t="s">
        <v>79</v>
      </c>
      <c r="L58" s="103"/>
      <c r="M58" s="103"/>
      <c r="N58" s="103"/>
      <c r="O58" s="103"/>
      <c r="S58" s="2" t="s">
        <v>45</v>
      </c>
      <c r="T58" s="4">
        <f>ROUND(F23*C10+D28-G34,0)</f>
        <v>0</v>
      </c>
    </row>
    <row r="59" spans="1:20" x14ac:dyDescent="0.2">
      <c r="A59" s="77" t="s">
        <v>58</v>
      </c>
      <c r="B59" s="2"/>
      <c r="C59" s="75"/>
      <c r="D59" s="2"/>
      <c r="E59" s="102"/>
      <c r="F59" s="102"/>
      <c r="G59" s="102"/>
      <c r="H59" s="102"/>
      <c r="K59" s="103"/>
      <c r="L59" s="103"/>
      <c r="M59" s="103"/>
      <c r="N59" s="103"/>
      <c r="O59" s="103"/>
      <c r="S59" s="2" t="s">
        <v>47</v>
      </c>
      <c r="T59" s="4">
        <f>ROUND(T58*H10,0)</f>
        <v>0</v>
      </c>
    </row>
    <row r="60" spans="1:20" ht="12.75" customHeight="1" x14ac:dyDescent="0.2">
      <c r="A60" s="77" t="s">
        <v>58</v>
      </c>
      <c r="B60" s="2"/>
      <c r="C60" s="75"/>
      <c r="D60" s="153" t="str">
        <f>IF(C102&lt;0,"De werktijdfactor is te laag om adeze taken te kunnen vervullen. Vul in cel D29 extra uren in of verstrek een extra dagdeel.","")</f>
        <v/>
      </c>
      <c r="E60" s="104"/>
      <c r="F60" s="104"/>
      <c r="G60" s="104"/>
      <c r="H60" s="104"/>
      <c r="K60" s="103"/>
      <c r="L60" s="103"/>
      <c r="M60" s="103"/>
      <c r="N60" s="103"/>
      <c r="O60" s="103"/>
      <c r="S60" s="86" t="s">
        <v>64</v>
      </c>
      <c r="T60" s="4">
        <f>ROUND(1659*(LEFT(H28,2)/40)-T59-T58-ROUND(IF(A38="",ROUND(LEFT(H28,2)/40*IF(B33="Ja",163,123),0),ROUND(VLOOKUP(B37,$S$52:$T$56,2,FALSE)*LEFT(H28,2)/40,0))-B38,0)-C47,0)</f>
        <v>0</v>
      </c>
    </row>
    <row r="61" spans="1:20" ht="12.75" customHeight="1" x14ac:dyDescent="0.2">
      <c r="A61" s="77" t="s">
        <v>58</v>
      </c>
      <c r="B61" s="2"/>
      <c r="C61" s="75"/>
      <c r="D61" s="153"/>
      <c r="E61" s="104"/>
      <c r="F61" s="104"/>
      <c r="G61" s="104"/>
      <c r="H61" s="104"/>
      <c r="K61" s="103"/>
      <c r="L61" s="103"/>
      <c r="M61" s="103"/>
      <c r="N61" s="103"/>
      <c r="O61" s="103"/>
    </row>
    <row r="62" spans="1:20" ht="12.75" customHeight="1" x14ac:dyDescent="0.2">
      <c r="A62" s="77" t="s">
        <v>58</v>
      </c>
      <c r="B62" s="2"/>
      <c r="C62" s="75"/>
      <c r="D62" s="78"/>
      <c r="E62" s="83"/>
      <c r="F62" s="83"/>
      <c r="G62" s="83"/>
      <c r="H62" s="83"/>
      <c r="I62" s="83"/>
      <c r="K62" s="103"/>
      <c r="L62" s="103"/>
      <c r="M62" s="103"/>
      <c r="N62" s="103"/>
      <c r="O62" s="103"/>
    </row>
    <row r="63" spans="1:20" ht="13.15" customHeight="1" x14ac:dyDescent="0.2">
      <c r="A63" s="77" t="s">
        <v>58</v>
      </c>
      <c r="B63" s="2"/>
      <c r="C63" s="75"/>
      <c r="D63" s="78"/>
      <c r="E63" s="105" t="s">
        <v>97</v>
      </c>
      <c r="F63" s="105"/>
      <c r="G63" s="105"/>
      <c r="H63" s="105"/>
      <c r="I63" s="83"/>
      <c r="T63" s="4">
        <f>ROUND(1659*(LEFT(H28,2)/40)-ROUND(IF(A38="",ROUND(LEFT(H28,2)/40*IF(B33="Ja",163,123),0),ROUND(VLOOKUP(B37,$S$52:$T$56,2,FALSE)*LEFT(H28,2)/40,0))-B38,0),0)</f>
        <v>0</v>
      </c>
    </row>
    <row r="64" spans="1:20" x14ac:dyDescent="0.2">
      <c r="A64" s="77" t="s">
        <v>58</v>
      </c>
      <c r="B64" s="2"/>
      <c r="C64" s="75"/>
      <c r="D64" s="72"/>
      <c r="E64" s="81" t="s">
        <v>56</v>
      </c>
      <c r="F64" s="154"/>
      <c r="G64" s="155"/>
      <c r="H64" s="156"/>
      <c r="I64" s="83"/>
      <c r="S64" s="76">
        <f>1659/40*LEFT(H28,2)</f>
        <v>0</v>
      </c>
    </row>
    <row r="65" spans="1:9" ht="12.75" customHeight="1" x14ac:dyDescent="0.2">
      <c r="A65" s="77" t="s">
        <v>58</v>
      </c>
      <c r="B65" s="2"/>
      <c r="C65" s="75"/>
      <c r="D65" s="72"/>
      <c r="E65" s="81" t="s">
        <v>60</v>
      </c>
      <c r="F65" s="154"/>
      <c r="G65" s="155"/>
      <c r="H65" s="156"/>
      <c r="I65" s="83"/>
    </row>
    <row r="66" spans="1:9" x14ac:dyDescent="0.2">
      <c r="A66" s="77" t="s">
        <v>58</v>
      </c>
      <c r="B66" s="2"/>
      <c r="C66" s="75"/>
      <c r="D66" s="72"/>
      <c r="E66" s="81" t="s">
        <v>59</v>
      </c>
      <c r="F66" s="154"/>
      <c r="G66" s="155"/>
      <c r="H66" s="156"/>
      <c r="I66" s="83"/>
    </row>
    <row r="67" spans="1:9" ht="12.75" customHeight="1" x14ac:dyDescent="0.2">
      <c r="A67" s="77" t="s">
        <v>58</v>
      </c>
      <c r="B67" s="2"/>
      <c r="C67" s="75"/>
      <c r="D67" s="72"/>
      <c r="E67" s="82" t="s">
        <v>61</v>
      </c>
      <c r="F67" s="154"/>
      <c r="G67" s="155"/>
      <c r="H67" s="156"/>
      <c r="I67" s="83"/>
    </row>
    <row r="68" spans="1:9" x14ac:dyDescent="0.2">
      <c r="A68" s="77" t="s">
        <v>58</v>
      </c>
      <c r="B68" s="2"/>
      <c r="C68" s="75"/>
      <c r="D68" s="72"/>
      <c r="E68" s="82" t="s">
        <v>62</v>
      </c>
      <c r="F68" s="154"/>
      <c r="G68" s="155"/>
      <c r="H68" s="156"/>
      <c r="I68" s="83"/>
    </row>
    <row r="69" spans="1:9" x14ac:dyDescent="0.2">
      <c r="A69" s="77" t="s">
        <v>58</v>
      </c>
      <c r="B69" s="2"/>
      <c r="C69" s="75"/>
      <c r="D69" s="72"/>
      <c r="E69" s="82" t="s">
        <v>58</v>
      </c>
      <c r="F69" s="154"/>
      <c r="G69" s="155"/>
      <c r="H69" s="156"/>
      <c r="I69" s="83"/>
    </row>
    <row r="70" spans="1:9" x14ac:dyDescent="0.2">
      <c r="A70" s="77" t="s">
        <v>58</v>
      </c>
      <c r="B70" s="2"/>
      <c r="C70" s="75"/>
      <c r="D70" s="72"/>
      <c r="E70" s="82" t="s">
        <v>58</v>
      </c>
      <c r="F70" s="154"/>
      <c r="G70" s="155"/>
      <c r="H70" s="156"/>
      <c r="I70" s="83"/>
    </row>
    <row r="71" spans="1:9" hidden="1" x14ac:dyDescent="0.2">
      <c r="A71" s="77" t="s">
        <v>58</v>
      </c>
      <c r="B71" s="2"/>
      <c r="C71" s="75"/>
      <c r="D71" s="72"/>
      <c r="E71" s="82" t="s">
        <v>58</v>
      </c>
      <c r="F71" s="157"/>
      <c r="G71" s="158"/>
      <c r="H71" s="159"/>
      <c r="I71" s="83"/>
    </row>
    <row r="72" spans="1:9" hidden="1" x14ac:dyDescent="0.2">
      <c r="A72" s="77" t="s">
        <v>58</v>
      </c>
      <c r="B72" s="2"/>
      <c r="C72" s="75"/>
      <c r="D72" s="72"/>
      <c r="E72" s="82" t="s">
        <v>58</v>
      </c>
      <c r="F72" s="157"/>
      <c r="G72" s="158"/>
      <c r="H72" s="159"/>
      <c r="I72" s="83"/>
    </row>
    <row r="73" spans="1:9" hidden="1" x14ac:dyDescent="0.2">
      <c r="A73" s="77" t="s">
        <v>58</v>
      </c>
      <c r="B73" s="2"/>
      <c r="C73" s="75"/>
      <c r="D73" s="72"/>
      <c r="E73" s="82" t="s">
        <v>58</v>
      </c>
      <c r="F73" s="157"/>
      <c r="G73" s="158"/>
      <c r="H73" s="159"/>
      <c r="I73" s="83"/>
    </row>
    <row r="74" spans="1:9" hidden="1" x14ac:dyDescent="0.2">
      <c r="A74" s="77" t="s">
        <v>58</v>
      </c>
      <c r="B74" s="2"/>
      <c r="C74" s="75"/>
      <c r="D74" s="72"/>
      <c r="E74" s="82" t="s">
        <v>58</v>
      </c>
      <c r="F74" s="157"/>
      <c r="G74" s="158"/>
      <c r="H74" s="159"/>
      <c r="I74" s="83"/>
    </row>
    <row r="75" spans="1:9" hidden="1" x14ac:dyDescent="0.2">
      <c r="A75" s="77" t="s">
        <v>58</v>
      </c>
      <c r="B75" s="2"/>
      <c r="C75" s="75"/>
      <c r="D75" s="72"/>
      <c r="E75" s="82" t="s">
        <v>58</v>
      </c>
      <c r="F75" s="157"/>
      <c r="G75" s="158"/>
      <c r="H75" s="159"/>
      <c r="I75" s="83"/>
    </row>
    <row r="76" spans="1:9" hidden="1" x14ac:dyDescent="0.2">
      <c r="A76" s="77" t="s">
        <v>58</v>
      </c>
      <c r="B76" s="2"/>
      <c r="C76" s="75"/>
      <c r="D76" s="72"/>
      <c r="E76" s="82" t="s">
        <v>58</v>
      </c>
      <c r="F76" s="157"/>
      <c r="G76" s="158"/>
      <c r="H76" s="159"/>
      <c r="I76" s="83"/>
    </row>
    <row r="77" spans="1:9" hidden="1" x14ac:dyDescent="0.2">
      <c r="A77" s="77" t="s">
        <v>58</v>
      </c>
      <c r="B77" s="2"/>
      <c r="C77" s="75"/>
      <c r="D77" s="72"/>
      <c r="E77" s="82" t="s">
        <v>58</v>
      </c>
      <c r="F77" s="157"/>
      <c r="G77" s="158"/>
      <c r="H77" s="159"/>
      <c r="I77" s="83"/>
    </row>
    <row r="78" spans="1:9" hidden="1" x14ac:dyDescent="0.2">
      <c r="A78" s="77" t="s">
        <v>58</v>
      </c>
      <c r="B78" s="2"/>
      <c r="C78" s="75"/>
      <c r="D78" s="72"/>
      <c r="E78" s="82" t="s">
        <v>58</v>
      </c>
      <c r="F78" s="157"/>
      <c r="G78" s="158"/>
      <c r="H78" s="159"/>
      <c r="I78" s="83"/>
    </row>
    <row r="79" spans="1:9" hidden="1" x14ac:dyDescent="0.2">
      <c r="A79" s="77" t="s">
        <v>58</v>
      </c>
      <c r="B79" s="2"/>
      <c r="C79" s="75"/>
      <c r="D79" s="72"/>
      <c r="E79" s="82" t="s">
        <v>58</v>
      </c>
      <c r="F79" s="157"/>
      <c r="G79" s="158"/>
      <c r="H79" s="159"/>
      <c r="I79" s="83"/>
    </row>
    <row r="80" spans="1:9" hidden="1" x14ac:dyDescent="0.2">
      <c r="A80" s="77" t="s">
        <v>58</v>
      </c>
      <c r="B80" s="2"/>
      <c r="C80" s="75"/>
      <c r="D80" s="72"/>
      <c r="E80" s="82" t="s">
        <v>58</v>
      </c>
      <c r="F80" s="157"/>
      <c r="G80" s="158"/>
      <c r="H80" s="159"/>
      <c r="I80" s="83"/>
    </row>
    <row r="81" spans="1:9" hidden="1" x14ac:dyDescent="0.2">
      <c r="A81" s="77" t="s">
        <v>58</v>
      </c>
      <c r="B81" s="2"/>
      <c r="C81" s="75"/>
      <c r="D81" s="72"/>
      <c r="E81" s="82" t="s">
        <v>58</v>
      </c>
      <c r="F81" s="157"/>
      <c r="G81" s="158"/>
      <c r="H81" s="159"/>
      <c r="I81" s="83"/>
    </row>
    <row r="82" spans="1:9" hidden="1" x14ac:dyDescent="0.2">
      <c r="A82" s="77" t="s">
        <v>58</v>
      </c>
      <c r="B82" s="2"/>
      <c r="C82" s="75"/>
      <c r="D82" s="72"/>
      <c r="E82" s="82" t="s">
        <v>58</v>
      </c>
      <c r="F82" s="157"/>
      <c r="G82" s="158"/>
      <c r="H82" s="159"/>
      <c r="I82" s="83"/>
    </row>
    <row r="83" spans="1:9" hidden="1" x14ac:dyDescent="0.2">
      <c r="A83" s="77" t="s">
        <v>58</v>
      </c>
      <c r="B83" s="2"/>
      <c r="C83" s="75"/>
      <c r="D83" s="72"/>
      <c r="E83" s="82" t="s">
        <v>58</v>
      </c>
      <c r="F83" s="157"/>
      <c r="G83" s="158"/>
      <c r="H83" s="159"/>
      <c r="I83" s="83"/>
    </row>
    <row r="84" spans="1:9" hidden="1" x14ac:dyDescent="0.2">
      <c r="A84" s="77" t="s">
        <v>58</v>
      </c>
      <c r="B84" s="2"/>
      <c r="C84" s="75"/>
      <c r="D84" s="72"/>
      <c r="E84" s="82" t="s">
        <v>58</v>
      </c>
      <c r="F84" s="157"/>
      <c r="G84" s="158"/>
      <c r="H84" s="159"/>
      <c r="I84" s="83"/>
    </row>
    <row r="85" spans="1:9" hidden="1" x14ac:dyDescent="0.2">
      <c r="A85" s="77" t="s">
        <v>58</v>
      </c>
      <c r="B85" s="2"/>
      <c r="C85" s="75"/>
      <c r="D85" s="72"/>
      <c r="E85" s="82" t="s">
        <v>58</v>
      </c>
      <c r="F85" s="157"/>
      <c r="G85" s="158"/>
      <c r="H85" s="159"/>
      <c r="I85" s="83"/>
    </row>
    <row r="86" spans="1:9" hidden="1" x14ac:dyDescent="0.2">
      <c r="A86" s="77" t="s">
        <v>58</v>
      </c>
      <c r="B86" s="2"/>
      <c r="C86" s="75"/>
      <c r="D86" s="72"/>
      <c r="E86" s="82" t="s">
        <v>58</v>
      </c>
      <c r="F86" s="157"/>
      <c r="G86" s="158"/>
      <c r="H86" s="159"/>
      <c r="I86" s="83"/>
    </row>
    <row r="87" spans="1:9" hidden="1" x14ac:dyDescent="0.2">
      <c r="A87" s="77" t="s">
        <v>58</v>
      </c>
      <c r="B87" s="2"/>
      <c r="C87" s="75"/>
      <c r="D87" s="72"/>
      <c r="E87" s="82" t="s">
        <v>58</v>
      </c>
      <c r="F87" s="157"/>
      <c r="G87" s="158"/>
      <c r="H87" s="159"/>
      <c r="I87" s="83"/>
    </row>
    <row r="88" spans="1:9" hidden="1" x14ac:dyDescent="0.2">
      <c r="A88" s="77" t="s">
        <v>58</v>
      </c>
      <c r="B88" s="2"/>
      <c r="C88" s="75"/>
      <c r="D88" s="72"/>
      <c r="E88" s="82" t="s">
        <v>58</v>
      </c>
      <c r="F88" s="157"/>
      <c r="G88" s="158"/>
      <c r="H88" s="159"/>
      <c r="I88" s="83"/>
    </row>
    <row r="89" spans="1:9" hidden="1" x14ac:dyDescent="0.2">
      <c r="A89" s="77" t="s">
        <v>58</v>
      </c>
      <c r="B89" s="2"/>
      <c r="C89" s="75"/>
      <c r="D89" s="72"/>
      <c r="E89" s="82" t="s">
        <v>58</v>
      </c>
      <c r="F89" s="157"/>
      <c r="G89" s="158"/>
      <c r="H89" s="159"/>
      <c r="I89" s="83"/>
    </row>
    <row r="90" spans="1:9" hidden="1" x14ac:dyDescent="0.2">
      <c r="A90" s="77" t="s">
        <v>58</v>
      </c>
      <c r="B90" s="2"/>
      <c r="C90" s="75"/>
      <c r="D90" s="72"/>
      <c r="E90" s="82" t="s">
        <v>58</v>
      </c>
      <c r="F90" s="157"/>
      <c r="G90" s="158"/>
      <c r="H90" s="159"/>
      <c r="I90" s="83"/>
    </row>
    <row r="91" spans="1:9" hidden="1" x14ac:dyDescent="0.2">
      <c r="A91" s="77" t="s">
        <v>58</v>
      </c>
      <c r="B91" s="2"/>
      <c r="C91" s="75"/>
      <c r="D91" s="72"/>
      <c r="E91" s="82" t="s">
        <v>58</v>
      </c>
      <c r="F91" s="157"/>
      <c r="G91" s="158"/>
      <c r="H91" s="159"/>
      <c r="I91" s="83"/>
    </row>
    <row r="92" spans="1:9" hidden="1" x14ac:dyDescent="0.2">
      <c r="A92" s="77" t="s">
        <v>58</v>
      </c>
      <c r="B92" s="2"/>
      <c r="C92" s="75"/>
      <c r="D92" s="72"/>
      <c r="E92" s="82" t="s">
        <v>58</v>
      </c>
      <c r="F92" s="157"/>
      <c r="G92" s="158"/>
      <c r="H92" s="159"/>
      <c r="I92" s="83"/>
    </row>
    <row r="93" spans="1:9" hidden="1" x14ac:dyDescent="0.2">
      <c r="A93" s="77" t="s">
        <v>58</v>
      </c>
      <c r="B93" s="2"/>
      <c r="C93" s="75"/>
      <c r="D93" s="72"/>
      <c r="E93" s="82" t="s">
        <v>58</v>
      </c>
      <c r="F93" s="157"/>
      <c r="G93" s="158"/>
      <c r="H93" s="159"/>
      <c r="I93" s="83"/>
    </row>
    <row r="94" spans="1:9" hidden="1" x14ac:dyDescent="0.2">
      <c r="A94" s="77" t="s">
        <v>58</v>
      </c>
      <c r="B94" s="2"/>
      <c r="C94" s="75"/>
      <c r="D94" s="72"/>
      <c r="E94" s="82" t="s">
        <v>58</v>
      </c>
      <c r="F94" s="157"/>
      <c r="G94" s="158"/>
      <c r="H94" s="159"/>
      <c r="I94" s="83"/>
    </row>
    <row r="95" spans="1:9" hidden="1" x14ac:dyDescent="0.2">
      <c r="A95" s="77" t="s">
        <v>58</v>
      </c>
      <c r="B95" s="2"/>
      <c r="C95" s="75"/>
      <c r="D95" s="72"/>
      <c r="E95" s="82" t="s">
        <v>58</v>
      </c>
      <c r="F95" s="157"/>
      <c r="G95" s="158"/>
      <c r="H95" s="159"/>
      <c r="I95" s="83"/>
    </row>
    <row r="96" spans="1:9" hidden="1" x14ac:dyDescent="0.2">
      <c r="A96" s="77" t="s">
        <v>58</v>
      </c>
      <c r="B96" s="2"/>
      <c r="C96" s="75"/>
      <c r="D96" s="72"/>
      <c r="E96" s="82" t="s">
        <v>58</v>
      </c>
      <c r="F96" s="157"/>
      <c r="G96" s="158"/>
      <c r="H96" s="159"/>
      <c r="I96" s="83"/>
    </row>
    <row r="97" spans="1:15" hidden="1" x14ac:dyDescent="0.2">
      <c r="A97" s="77" t="s">
        <v>58</v>
      </c>
      <c r="B97" s="2"/>
      <c r="C97" s="75"/>
      <c r="D97" s="72"/>
      <c r="E97" s="82" t="s">
        <v>58</v>
      </c>
      <c r="F97" s="157"/>
      <c r="G97" s="158"/>
      <c r="H97" s="159"/>
      <c r="I97" s="83"/>
    </row>
    <row r="98" spans="1:15" hidden="1" x14ac:dyDescent="0.2">
      <c r="A98" s="77" t="s">
        <v>58</v>
      </c>
      <c r="B98" s="2"/>
      <c r="C98" s="75"/>
      <c r="D98" s="72"/>
      <c r="E98" s="82" t="s">
        <v>58</v>
      </c>
      <c r="F98" s="157"/>
      <c r="G98" s="158"/>
      <c r="H98" s="159"/>
      <c r="I98" s="83"/>
    </row>
    <row r="99" spans="1:15" hidden="1" x14ac:dyDescent="0.2">
      <c r="A99" s="77" t="s">
        <v>58</v>
      </c>
      <c r="B99" s="2"/>
      <c r="C99" s="75"/>
      <c r="D99" s="72"/>
      <c r="E99" s="82" t="s">
        <v>58</v>
      </c>
      <c r="F99" s="157"/>
      <c r="G99" s="158"/>
      <c r="H99" s="159"/>
      <c r="I99" s="83"/>
    </row>
    <row r="100" spans="1:15" ht="13.5" thickBot="1" x14ac:dyDescent="0.25">
      <c r="A100" s="51" t="s">
        <v>58</v>
      </c>
      <c r="B100" s="2"/>
      <c r="C100" s="75"/>
      <c r="D100" s="2"/>
      <c r="E100" s="88" t="s">
        <v>65</v>
      </c>
      <c r="F100" s="122">
        <f>G56-SUM(F64:H99)</f>
        <v>0</v>
      </c>
      <c r="G100" s="122"/>
      <c r="H100" s="122"/>
      <c r="I100" s="83"/>
    </row>
    <row r="101" spans="1:15" ht="13.5" thickBot="1" x14ac:dyDescent="0.25">
      <c r="A101" s="51" t="s">
        <v>63</v>
      </c>
      <c r="B101" s="2"/>
      <c r="C101" s="75"/>
      <c r="D101" s="2"/>
      <c r="E101" s="78" t="s">
        <v>20</v>
      </c>
      <c r="F101" s="119">
        <f>SUM(F64:H100)</f>
        <v>0</v>
      </c>
      <c r="G101" s="120"/>
      <c r="H101" s="121"/>
    </row>
    <row r="102" spans="1:15" ht="13.5" thickBot="1" x14ac:dyDescent="0.25">
      <c r="A102" s="2" t="s">
        <v>64</v>
      </c>
      <c r="B102" s="2"/>
      <c r="C102" s="87">
        <f>IFERROR(IF(G35&gt;0,ROUND(T60-SUM(C59:C101)-V43,0),ROUND(T60-H38-SUM(C59:C101),0)),0)</f>
        <v>0</v>
      </c>
      <c r="D102" s="2"/>
      <c r="E102" s="2"/>
      <c r="F102" s="2"/>
      <c r="G102" s="2"/>
      <c r="H102" s="2"/>
    </row>
    <row r="103" spans="1:15" ht="13.5" thickBot="1" x14ac:dyDescent="0.25">
      <c r="A103" s="8" t="s">
        <v>66</v>
      </c>
      <c r="B103" s="2"/>
      <c r="C103" s="89">
        <f>SUM(C59:C102)</f>
        <v>0</v>
      </c>
      <c r="D103" s="2"/>
      <c r="E103" s="2"/>
      <c r="F103" s="2"/>
      <c r="G103" s="2"/>
      <c r="H103" s="2"/>
    </row>
    <row r="104" spans="1:15" s="2" customFormat="1" x14ac:dyDescent="0.2">
      <c r="J104" s="3"/>
      <c r="K104" s="3"/>
      <c r="L104" s="3"/>
      <c r="M104" s="3"/>
      <c r="N104" s="3"/>
      <c r="O104" s="3"/>
    </row>
    <row r="105" spans="1:15" hidden="1" x14ac:dyDescent="0.2"/>
    <row r="106" spans="1:15" hidden="1" x14ac:dyDescent="0.2"/>
    <row r="107" spans="1:15" hidden="1" x14ac:dyDescent="0.2"/>
    <row r="108" spans="1:15" hidden="1" x14ac:dyDescent="0.2"/>
    <row r="109" spans="1:15" hidden="1" x14ac:dyDescent="0.2"/>
    <row r="110" spans="1:15" hidden="1" x14ac:dyDescent="0.2"/>
    <row r="111" spans="1:15" hidden="1" x14ac:dyDescent="0.2"/>
  </sheetData>
  <mergeCells count="79">
    <mergeCell ref="F99:H99"/>
    <mergeCell ref="F64:H64"/>
    <mergeCell ref="F100:H100"/>
    <mergeCell ref="F101:H101"/>
    <mergeCell ref="F94:H94"/>
    <mergeCell ref="F95:H95"/>
    <mergeCell ref="F96:H96"/>
    <mergeCell ref="F97:H97"/>
    <mergeCell ref="F98:H98"/>
    <mergeCell ref="F89:H89"/>
    <mergeCell ref="F90:H90"/>
    <mergeCell ref="F91:H91"/>
    <mergeCell ref="F92:H92"/>
    <mergeCell ref="F93:H93"/>
    <mergeCell ref="F84:H84"/>
    <mergeCell ref="F85:H85"/>
    <mergeCell ref="F86:H86"/>
    <mergeCell ref="F87:H87"/>
    <mergeCell ref="F88:H88"/>
    <mergeCell ref="F79:H79"/>
    <mergeCell ref="F80:H80"/>
    <mergeCell ref="F81:H81"/>
    <mergeCell ref="F82:H82"/>
    <mergeCell ref="F83:H83"/>
    <mergeCell ref="B33:C33"/>
    <mergeCell ref="F65:H65"/>
    <mergeCell ref="F66:H66"/>
    <mergeCell ref="F67:H67"/>
    <mergeCell ref="F68:H68"/>
    <mergeCell ref="D60:H61"/>
    <mergeCell ref="E63:H63"/>
    <mergeCell ref="A39:C39"/>
    <mergeCell ref="B37:C37"/>
    <mergeCell ref="B34:C34"/>
    <mergeCell ref="B35:C35"/>
    <mergeCell ref="B36:C36"/>
    <mergeCell ref="E53:F54"/>
    <mergeCell ref="G53:G54"/>
    <mergeCell ref="F69:H69"/>
    <mergeCell ref="F70:H70"/>
    <mergeCell ref="F71:H71"/>
    <mergeCell ref="F72:H72"/>
    <mergeCell ref="F73:H73"/>
    <mergeCell ref="F74:H74"/>
    <mergeCell ref="F75:H75"/>
    <mergeCell ref="F76:H76"/>
    <mergeCell ref="F77:H77"/>
    <mergeCell ref="F78:H78"/>
    <mergeCell ref="C2:D2"/>
    <mergeCell ref="K58:O62"/>
    <mergeCell ref="E58:H59"/>
    <mergeCell ref="K31:O32"/>
    <mergeCell ref="K42:O45"/>
    <mergeCell ref="K36:O40"/>
    <mergeCell ref="E36:H36"/>
    <mergeCell ref="H6:I6"/>
    <mergeCell ref="H5:I5"/>
    <mergeCell ref="K28:O30"/>
    <mergeCell ref="K12:O15"/>
    <mergeCell ref="C23:D23"/>
    <mergeCell ref="B15:D15"/>
    <mergeCell ref="K16:O26"/>
    <mergeCell ref="H25:H26"/>
    <mergeCell ref="B5:D5"/>
    <mergeCell ref="F5:G5"/>
    <mergeCell ref="C16:D16"/>
    <mergeCell ref="B16:B17"/>
    <mergeCell ref="F15:H15"/>
    <mergeCell ref="F16:F17"/>
    <mergeCell ref="G16:H16"/>
    <mergeCell ref="B6:D6"/>
    <mergeCell ref="F6:G6"/>
    <mergeCell ref="C24:E24"/>
    <mergeCell ref="B7:D7"/>
    <mergeCell ref="F28:G29"/>
    <mergeCell ref="H28:H29"/>
    <mergeCell ref="F25:G26"/>
    <mergeCell ref="G23:H23"/>
    <mergeCell ref="B8:I8"/>
  </mergeCells>
  <conditionalFormatting sqref="A38:H38">
    <cfRule type="cellIs" dxfId="54" priority="5" operator="equal">
      <formula>$D$38&lt;&gt;"Lesuren"</formula>
    </cfRule>
  </conditionalFormatting>
  <conditionalFormatting sqref="B38">
    <cfRule type="cellIs" dxfId="53" priority="25" operator="equal">
      <formula>$A$38&lt;&gt;"Aantal uur verlof"</formula>
    </cfRule>
    <cfRule type="cellIs" dxfId="52" priority="26" operator="equal">
      <formula>""""""</formula>
    </cfRule>
    <cfRule type="cellIs" dxfId="51" priority="27" operator="between">
      <formula>1</formula>
      <formula>500</formula>
    </cfRule>
  </conditionalFormatting>
  <conditionalFormatting sqref="B37:C37">
    <cfRule type="containsText" dxfId="50" priority="28" operator="containsText" text="e">
      <formula>NOT(ISERROR(SEARCH("e",B37)))</formula>
    </cfRule>
    <cfRule type="cellIs" dxfId="49" priority="29" operator="equal">
      <formula>$A$37&lt;&gt;"Recht duurzame inzetbaarheid"</formula>
    </cfRule>
  </conditionalFormatting>
  <conditionalFormatting sqref="B37:H37">
    <cfRule type="cellIs" dxfId="48" priority="4" operator="equal">
      <formula>$D$38&lt;&gt;"Lesuren"</formula>
    </cfRule>
  </conditionalFormatting>
  <conditionalFormatting sqref="C53:C55">
    <cfRule type="cellIs" dxfId="47" priority="14" operator="equal">
      <formula>$D$53&lt;&gt;"Niet toegestaan"</formula>
    </cfRule>
  </conditionalFormatting>
  <conditionalFormatting sqref="F38">
    <cfRule type="cellIs" dxfId="46" priority="24" operator="equal">
      <formula>$F$37&lt;&gt;"Lesuren"</formula>
    </cfRule>
  </conditionalFormatting>
  <conditionalFormatting sqref="F100">
    <cfRule type="cellIs" dxfId="45" priority="1" operator="lessThan">
      <formula>0</formula>
    </cfRule>
  </conditionalFormatting>
  <conditionalFormatting sqref="F38:H38">
    <cfRule type="cellIs" dxfId="44" priority="19" operator="greaterThan">
      <formula>0</formula>
    </cfRule>
  </conditionalFormatting>
  <conditionalFormatting sqref="G34">
    <cfRule type="cellIs" dxfId="43" priority="63" operator="equal">
      <formula>$B$34&lt;&gt;"Ja"</formula>
    </cfRule>
    <cfRule type="cellIs" dxfId="42" priority="64" operator="between">
      <formula>1</formula>
      <formula>1300</formula>
    </cfRule>
  </conditionalFormatting>
  <conditionalFormatting sqref="G35">
    <cfRule type="cellIs" dxfId="41" priority="65" operator="equal">
      <formula>$B$35&lt;&gt;"Ja"</formula>
    </cfRule>
    <cfRule type="cellIs" dxfId="40" priority="66" operator="between">
      <formula>0.0001</formula>
      <formula>2</formula>
    </cfRule>
  </conditionalFormatting>
  <conditionalFormatting sqref="G38">
    <cfRule type="cellIs" dxfId="39" priority="23" operator="equal">
      <formula>$G$37&lt;&gt;"v/n-werk"</formula>
    </cfRule>
  </conditionalFormatting>
  <conditionalFormatting sqref="G39">
    <cfRule type="containsText" dxfId="38" priority="6" operator="containsText" text="Taakuren">
      <formula>NOT(ISERROR(SEARCH("Taakuren",G39)))</formula>
    </cfRule>
  </conditionalFormatting>
  <conditionalFormatting sqref="G40">
    <cfRule type="containsText" dxfId="37" priority="7" operator="containsText" text="Duurz. Inz.">
      <formula>NOT(ISERROR(SEARCH("Duurz. Inz.",G40)))</formula>
    </cfRule>
  </conditionalFormatting>
  <conditionalFormatting sqref="H24">
    <cfRule type="containsText" dxfId="36" priority="12" operator="containsText" text="u">
      <formula>NOT(ISERROR(SEARCH("u",#REF!)))</formula>
    </cfRule>
  </conditionalFormatting>
  <conditionalFormatting sqref="H25:H26">
    <cfRule type="containsText" dxfId="35" priority="67" operator="containsText" text="u">
      <formula>NOT(ISERROR(SEARCH("u",H25)))</formula>
    </cfRule>
    <cfRule type="cellIs" dxfId="34" priority="68" operator="equal">
      <formula>$E$34&lt;&gt;"Lesuren"</formula>
    </cfRule>
  </conditionalFormatting>
  <conditionalFormatting sqref="H38">
    <cfRule type="cellIs" dxfId="33" priority="22" operator="equal">
      <formula>$H$37&lt;&gt;"Taakuren"</formula>
    </cfRule>
  </conditionalFormatting>
  <dataValidations count="8">
    <dataValidation type="list" allowBlank="1" showInputMessage="1" showErrorMessage="1" sqref="B37:C37" xr:uid="{00000000-0002-0000-0100-000000000000}">
      <formula1>$T$27:$T$29</formula1>
    </dataValidation>
    <dataValidation type="whole" errorStyle="warning" operator="equal" allowBlank="1" showInputMessage="1" showErrorMessage="1" errorTitle="Let op:" error="Aantal uren wijkt af van het bepaalde schoolrooster" sqref="I18:I22" xr:uid="{00000000-0002-0000-0100-000001000000}">
      <formula1>E18</formula1>
    </dataValidation>
    <dataValidation type="whole" allowBlank="1" showInputMessage="1" showErrorMessage="1" errorTitle="Ongeldige invoer" error="Het ingevulde aantal uur verlof overstijgt het totaal aantal lesuren. Kies voor een lager aantal uur verlof." sqref="F38:F39" xr:uid="{00000000-0002-0000-0100-000002000000}">
      <formula1>0</formula1>
      <formula2>T58</formula2>
    </dataValidation>
    <dataValidation type="whole" allowBlank="1" showInputMessage="1" showErrorMessage="1" errorTitle="Ongeldige invoer" error="Het aantal ingevulde uren verlof overstijgt het totaal aantal uren voor- en nawerk. Kies voor een lager aantal uur verlof." sqref="G38" xr:uid="{00000000-0002-0000-0100-000003000000}">
      <formula1>0</formula1>
      <formula2>T59</formula2>
    </dataValidation>
    <dataValidation type="whole" allowBlank="1" showInputMessage="1" showErrorMessage="1" errorTitle="Ongeldige invoer" error="Het ingevulde aantal uur verlof overstijgt het beschikbare aantal taakuren. Kies voor een lager aantal uren verlof." sqref="H38:H39" xr:uid="{00000000-0002-0000-0100-000004000000}">
      <formula1>0</formula1>
      <formula2>T60</formula2>
    </dataValidation>
    <dataValidation type="list" allowBlank="1" showInputMessage="1" showErrorMessage="1" sqref="B34:B35 B33:C33" xr:uid="{00000000-0002-0000-0100-000005000000}">
      <formula1>"Ja,Nee"</formula1>
    </dataValidation>
    <dataValidation allowBlank="1" showInputMessage="1" showErrorMessage="1" errorTitle="Ongeldige invoer" error="Het aantal ingevulde uren verlof overstijgt het totaal aantal uren voor- en nawerk. Kies voor een lager aantal uur verlof." sqref="G39" xr:uid="{00000000-0002-0000-0100-000007000000}"/>
    <dataValidation type="whole" allowBlank="1" showInputMessage="1" showErrorMessage="1" errorTitle="Foutieve invoer" error="Het aantal uur verlof past niet binnen uw budget" sqref="B38" xr:uid="{00000000-0002-0000-0100-000006000000}">
      <formula1>0</formula1>
      <formula2>IF(B37="Overgangsregeling 56+",ROUND(340*LEFT(H28,2)/40,0),IF(B37="Overgangsregeling 52+",ROUND(170*LEFT(H28,2)/40,0),IF(B37="Basis en bijzonder budget",ROUND(170*LEFT(H28,2)/40,0),"")))</formula2>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C43E-ABF1-4CD9-B280-805D1B10693F}">
  <dimension ref="A1:V111"/>
  <sheetViews>
    <sheetView topLeftCell="A43" zoomScaleNormal="100" workbookViewId="0">
      <selection activeCell="A48" sqref="A48:H48"/>
    </sheetView>
  </sheetViews>
  <sheetFormatPr defaultColWidth="0" defaultRowHeight="12.75" customHeight="1" zeroHeight="1" x14ac:dyDescent="0.2"/>
  <cols>
    <col min="1" max="1" width="27" style="4" customWidth="1"/>
    <col min="2" max="4" width="11.28515625" style="4" customWidth="1"/>
    <col min="5" max="5" width="7.5703125" style="4" customWidth="1"/>
    <col min="6" max="7" width="14.28515625" style="4" customWidth="1"/>
    <col min="8" max="8" width="14.42578125" style="4" customWidth="1"/>
    <col min="9" max="9" width="1.42578125" style="2" customWidth="1"/>
    <col min="10" max="10" width="2" style="3" customWidth="1"/>
    <col min="11" max="15" width="13.7109375" style="3" customWidth="1"/>
    <col min="16" max="17" width="13.7109375" style="2" hidden="1" customWidth="1"/>
    <col min="18" max="18" width="10.28515625" style="4" hidden="1" customWidth="1"/>
    <col min="19" max="19" width="9.42578125" style="4" hidden="1" customWidth="1"/>
    <col min="20" max="20" width="10.140625" style="4" hidden="1" customWidth="1"/>
    <col min="21" max="16384" width="9.28515625" style="4" hidden="1"/>
  </cols>
  <sheetData>
    <row r="1" spans="1:21" ht="12.75" customHeight="1" x14ac:dyDescent="0.2">
      <c r="A1" s="1" t="str">
        <f>'wtf OP, obv lesuren'!A1</f>
        <v>Versie januari 2025</v>
      </c>
      <c r="B1" s="2"/>
      <c r="C1" s="2"/>
      <c r="D1" s="2"/>
      <c r="E1" s="2"/>
      <c r="F1" s="2"/>
      <c r="G1" s="2"/>
      <c r="H1" s="2"/>
    </row>
    <row r="2" spans="1:21" ht="18" x14ac:dyDescent="0.25">
      <c r="A2" s="123" t="s">
        <v>67</v>
      </c>
      <c r="B2" s="2"/>
      <c r="C2" s="94" t="s">
        <v>101</v>
      </c>
      <c r="D2" s="95"/>
      <c r="E2" s="2"/>
      <c r="F2" s="2"/>
      <c r="G2" s="2"/>
      <c r="H2" s="2"/>
      <c r="U2" s="6"/>
    </row>
    <row r="3" spans="1:21" x14ac:dyDescent="0.2">
      <c r="A3" s="2"/>
      <c r="B3" s="2"/>
      <c r="C3" s="2"/>
      <c r="D3" s="2"/>
      <c r="E3" s="2"/>
      <c r="F3" s="2"/>
      <c r="G3" s="2"/>
      <c r="H3" s="2"/>
    </row>
    <row r="4" spans="1:21" x14ac:dyDescent="0.2">
      <c r="A4" s="7" t="s">
        <v>1</v>
      </c>
      <c r="B4" s="2"/>
      <c r="C4" s="2"/>
      <c r="D4" s="2"/>
      <c r="E4" s="7" t="s">
        <v>2</v>
      </c>
      <c r="F4" s="2"/>
      <c r="G4" s="2"/>
    </row>
    <row r="5" spans="1:21" x14ac:dyDescent="0.2">
      <c r="A5" s="2" t="s">
        <v>3</v>
      </c>
      <c r="B5" s="96"/>
      <c r="C5" s="96"/>
      <c r="D5" s="96"/>
      <c r="E5" s="2" t="s">
        <v>4</v>
      </c>
      <c r="F5" s="96"/>
      <c r="G5" s="96"/>
      <c r="H5" s="96"/>
      <c r="I5" s="96"/>
    </row>
    <row r="6" spans="1:21" x14ac:dyDescent="0.2">
      <c r="A6" s="2" t="s">
        <v>5</v>
      </c>
      <c r="B6" s="96"/>
      <c r="C6" s="96"/>
      <c r="D6" s="96"/>
      <c r="E6" s="2" t="s">
        <v>6</v>
      </c>
      <c r="F6" s="96"/>
      <c r="G6" s="96"/>
      <c r="H6" s="96"/>
      <c r="I6" s="96"/>
    </row>
    <row r="7" spans="1:21" x14ac:dyDescent="0.2">
      <c r="A7" s="2" t="s">
        <v>7</v>
      </c>
      <c r="B7" s="97"/>
      <c r="C7" s="96"/>
      <c r="D7" s="96"/>
      <c r="E7" s="2"/>
      <c r="F7" s="2"/>
      <c r="G7" s="2"/>
      <c r="H7" s="2"/>
      <c r="U7" s="8"/>
    </row>
    <row r="8" spans="1:21" x14ac:dyDescent="0.2">
      <c r="A8" s="2" t="s">
        <v>68</v>
      </c>
      <c r="B8" s="124"/>
      <c r="C8" s="124"/>
      <c r="D8" s="124"/>
      <c r="E8" s="124"/>
      <c r="F8" s="124"/>
      <c r="G8" s="124"/>
      <c r="H8" s="124"/>
      <c r="I8" s="124"/>
      <c r="U8" s="8"/>
    </row>
    <row r="9" spans="1:21" x14ac:dyDescent="0.2">
      <c r="A9" s="2"/>
      <c r="B9" s="9"/>
      <c r="C9" s="2"/>
      <c r="D9" s="2"/>
      <c r="E9" s="2"/>
      <c r="F9" s="2"/>
      <c r="G9" s="2"/>
      <c r="H9" s="20" t="e">
        <f>40/(940/C10)</f>
        <v>#DIV/0!</v>
      </c>
      <c r="U9" s="8"/>
    </row>
    <row r="10" spans="1:21" x14ac:dyDescent="0.2">
      <c r="A10" s="2" t="s">
        <v>103</v>
      </c>
      <c r="B10" s="8"/>
      <c r="C10" s="10"/>
      <c r="E10" s="2" t="s">
        <v>8</v>
      </c>
      <c r="F10" s="2"/>
      <c r="H10" s="11"/>
      <c r="U10" s="8"/>
    </row>
    <row r="11" spans="1:21" x14ac:dyDescent="0.2">
      <c r="A11" s="168"/>
      <c r="B11" s="168"/>
      <c r="C11" s="168"/>
      <c r="D11" s="168"/>
      <c r="E11" s="168"/>
      <c r="F11" s="168"/>
      <c r="G11" s="168"/>
      <c r="H11" s="168"/>
      <c r="I11" s="168"/>
      <c r="J11" s="169"/>
      <c r="K11" s="170" t="s">
        <v>9</v>
      </c>
      <c r="L11" s="169"/>
      <c r="M11" s="169"/>
      <c r="N11" s="169"/>
      <c r="O11" s="169"/>
    </row>
    <row r="12" spans="1:21" x14ac:dyDescent="0.2">
      <c r="A12" s="2"/>
      <c r="B12" s="2"/>
      <c r="C12" s="2"/>
      <c r="D12" s="2"/>
      <c r="E12" s="2"/>
      <c r="F12" s="2"/>
      <c r="G12" s="2"/>
      <c r="H12" s="2"/>
      <c r="K12" s="167" t="s">
        <v>69</v>
      </c>
      <c r="L12" s="167"/>
      <c r="M12" s="167"/>
      <c r="N12" s="167"/>
      <c r="O12" s="167"/>
      <c r="P12" s="13"/>
      <c r="Q12" s="13"/>
    </row>
    <row r="13" spans="1:21" ht="14.25" customHeight="1" x14ac:dyDescent="0.2">
      <c r="A13" s="125" t="s">
        <v>70</v>
      </c>
      <c r="B13" s="126"/>
      <c r="C13" s="2"/>
      <c r="D13" s="2"/>
      <c r="E13" s="2"/>
      <c r="F13" s="2"/>
      <c r="G13" s="2"/>
      <c r="I13" s="20"/>
      <c r="K13" s="90"/>
      <c r="L13" s="90"/>
      <c r="M13" s="90"/>
      <c r="N13" s="90"/>
      <c r="O13" s="90"/>
      <c r="P13" s="13"/>
      <c r="Q13" s="13"/>
    </row>
    <row r="14" spans="1:21" ht="14.25" customHeight="1" x14ac:dyDescent="0.2">
      <c r="A14" s="125"/>
      <c r="B14" s="126"/>
      <c r="C14" s="2"/>
      <c r="D14" s="2"/>
      <c r="E14" s="2"/>
      <c r="F14" s="2"/>
      <c r="G14" s="2"/>
      <c r="H14" s="20"/>
      <c r="I14" s="20"/>
      <c r="K14" s="90"/>
      <c r="L14" s="90"/>
      <c r="M14" s="90"/>
      <c r="N14" s="90"/>
      <c r="O14" s="90"/>
      <c r="P14" s="13"/>
      <c r="Q14" s="13"/>
    </row>
    <row r="15" spans="1:21" x14ac:dyDescent="0.2">
      <c r="A15" s="8"/>
      <c r="B15" s="127" t="s">
        <v>71</v>
      </c>
      <c r="C15" s="127"/>
      <c r="D15" s="127"/>
      <c r="E15" s="2"/>
      <c r="F15" s="127" t="s">
        <v>72</v>
      </c>
      <c r="G15" s="127"/>
      <c r="H15" s="127"/>
      <c r="I15" s="128"/>
      <c r="K15" s="90"/>
      <c r="L15" s="90"/>
      <c r="M15" s="90"/>
      <c r="N15" s="90"/>
      <c r="O15" s="90"/>
      <c r="P15" s="13"/>
      <c r="Q15" s="13"/>
    </row>
    <row r="16" spans="1:21" ht="12.75" customHeight="1" x14ac:dyDescent="0.2">
      <c r="A16" s="18"/>
      <c r="B16" s="129" t="s">
        <v>73</v>
      </c>
      <c r="C16" s="130" t="s">
        <v>105</v>
      </c>
      <c r="D16" s="130"/>
      <c r="E16" s="131"/>
      <c r="F16" s="129" t="s">
        <v>73</v>
      </c>
      <c r="G16" s="130" t="s">
        <v>105</v>
      </c>
      <c r="H16" s="130"/>
      <c r="I16" s="132"/>
      <c r="K16" s="133" t="s">
        <v>106</v>
      </c>
      <c r="L16" s="133"/>
      <c r="M16" s="133"/>
      <c r="N16" s="133"/>
      <c r="O16" s="133"/>
      <c r="P16" s="13"/>
      <c r="Q16" s="13"/>
    </row>
    <row r="17" spans="1:20" ht="12.75" customHeight="1" x14ac:dyDescent="0.2">
      <c r="A17" s="18"/>
      <c r="B17" s="134"/>
      <c r="C17" s="19" t="s">
        <v>74</v>
      </c>
      <c r="D17" s="131" t="s">
        <v>75</v>
      </c>
      <c r="E17" s="131"/>
      <c r="F17" s="134"/>
      <c r="G17" s="19" t="s">
        <v>74</v>
      </c>
      <c r="H17" s="131" t="s">
        <v>75</v>
      </c>
      <c r="I17" s="131"/>
      <c r="K17" s="133"/>
      <c r="L17" s="133"/>
      <c r="M17" s="133"/>
      <c r="N17" s="133"/>
      <c r="O17" s="133"/>
      <c r="P17" s="13"/>
      <c r="Q17" s="13"/>
    </row>
    <row r="18" spans="1:20" ht="12.75" customHeight="1" x14ac:dyDescent="0.2">
      <c r="A18" s="135" t="s">
        <v>14</v>
      </c>
      <c r="B18" s="24"/>
      <c r="C18" s="136"/>
      <c r="D18" s="136"/>
      <c r="E18" s="26"/>
      <c r="F18" s="24"/>
      <c r="G18" s="136"/>
      <c r="H18" s="136"/>
      <c r="I18" s="26"/>
      <c r="K18" s="133"/>
      <c r="L18" s="133"/>
      <c r="M18" s="133"/>
      <c r="N18" s="133"/>
      <c r="O18" s="133"/>
      <c r="P18" s="13"/>
      <c r="Q18" s="13"/>
      <c r="R18" s="4" t="e">
        <f>-G34/C10</f>
        <v>#DIV/0!</v>
      </c>
    </row>
    <row r="19" spans="1:20" x14ac:dyDescent="0.2">
      <c r="A19" s="135" t="s">
        <v>15</v>
      </c>
      <c r="B19" s="24"/>
      <c r="C19" s="136"/>
      <c r="D19" s="136"/>
      <c r="E19" s="26"/>
      <c r="F19" s="24"/>
      <c r="G19" s="136"/>
      <c r="H19" s="136"/>
      <c r="I19" s="26"/>
      <c r="K19" s="133"/>
      <c r="L19" s="133"/>
      <c r="M19" s="133"/>
      <c r="N19" s="133"/>
      <c r="O19" s="133"/>
      <c r="P19" s="13"/>
      <c r="Q19" s="13"/>
    </row>
    <row r="20" spans="1:20" ht="12.75" customHeight="1" x14ac:dyDescent="0.2">
      <c r="A20" s="135" t="s">
        <v>16</v>
      </c>
      <c r="B20" s="24"/>
      <c r="C20" s="136"/>
      <c r="D20" s="136"/>
      <c r="E20" s="26"/>
      <c r="F20" s="24"/>
      <c r="G20" s="136"/>
      <c r="H20" s="136"/>
      <c r="I20" s="26"/>
      <c r="K20" s="133"/>
      <c r="L20" s="133"/>
      <c r="M20" s="133"/>
      <c r="N20" s="133"/>
      <c r="O20" s="133"/>
      <c r="P20" s="13"/>
      <c r="Q20" s="13"/>
    </row>
    <row r="21" spans="1:20" ht="12.75" customHeight="1" x14ac:dyDescent="0.2">
      <c r="A21" s="135" t="s">
        <v>18</v>
      </c>
      <c r="B21" s="24"/>
      <c r="C21" s="136"/>
      <c r="D21" s="136"/>
      <c r="E21" s="26"/>
      <c r="F21" s="24"/>
      <c r="G21" s="136"/>
      <c r="H21" s="136"/>
      <c r="I21" s="26"/>
      <c r="K21" s="133"/>
      <c r="L21" s="133"/>
      <c r="M21" s="133"/>
      <c r="N21" s="133"/>
      <c r="O21" s="133"/>
      <c r="P21" s="13"/>
      <c r="Q21" s="13"/>
    </row>
    <row r="22" spans="1:20" ht="12.75" customHeight="1" x14ac:dyDescent="0.2">
      <c r="A22" s="135" t="s">
        <v>19</v>
      </c>
      <c r="B22" s="24"/>
      <c r="C22" s="136"/>
      <c r="D22" s="136"/>
      <c r="E22" s="26"/>
      <c r="F22" s="24"/>
      <c r="G22" s="136"/>
      <c r="H22" s="136"/>
      <c r="I22" s="26"/>
      <c r="K22" s="133"/>
      <c r="L22" s="133"/>
      <c r="M22" s="133"/>
      <c r="N22" s="133"/>
      <c r="O22" s="133"/>
      <c r="P22" s="13"/>
      <c r="Q22" s="13"/>
    </row>
    <row r="23" spans="1:20" x14ac:dyDescent="0.2">
      <c r="A23" s="137" t="s">
        <v>20</v>
      </c>
      <c r="B23" s="30">
        <f>SUM(B18:B22)</f>
        <v>0</v>
      </c>
      <c r="C23" s="138">
        <f>SUM(C18:D22)</f>
        <v>0</v>
      </c>
      <c r="D23" s="138"/>
      <c r="E23" s="31"/>
      <c r="F23" s="30">
        <f>SUM(F18:F22)</f>
        <v>0</v>
      </c>
      <c r="G23" s="138">
        <f>SUM(G18:H22)</f>
        <v>0</v>
      </c>
      <c r="H23" s="138"/>
      <c r="I23" s="31"/>
      <c r="K23" s="133"/>
      <c r="L23" s="133"/>
      <c r="M23" s="133"/>
      <c r="N23" s="133"/>
      <c r="O23" s="133"/>
      <c r="P23" s="13"/>
      <c r="Q23" s="13"/>
    </row>
    <row r="24" spans="1:20" ht="12.75" customHeight="1" x14ac:dyDescent="0.2">
      <c r="A24" s="8"/>
      <c r="B24" s="2"/>
      <c r="C24" s="139" t="str">
        <f>IF(B38&gt;0,"Totaal exclusief verlofuren","")</f>
        <v/>
      </c>
      <c r="D24" s="139"/>
      <c r="E24" s="139"/>
      <c r="F24" s="34" t="str">
        <f>IF(C24="","",C53/C10)</f>
        <v/>
      </c>
      <c r="G24" s="31"/>
      <c r="H24" s="31"/>
      <c r="I24" s="31"/>
      <c r="J24" s="32"/>
      <c r="K24" s="133"/>
      <c r="L24" s="133"/>
      <c r="M24" s="133"/>
      <c r="N24" s="133"/>
      <c r="O24" s="133"/>
      <c r="P24" s="13"/>
      <c r="Q24" s="13"/>
    </row>
    <row r="25" spans="1:20" ht="12.75" customHeight="1" x14ac:dyDescent="0.2">
      <c r="A25" s="8"/>
      <c r="C25" s="33"/>
      <c r="E25" s="19"/>
      <c r="F25" s="99" t="str">
        <f>IF(B38&gt;0,"Werktijdfactor exclusief verlof duurz. inz.:",IF(G35&gt;0,"Werktijdfactor ouderschapsverlof:",""))</f>
        <v/>
      </c>
      <c r="G25" s="99"/>
      <c r="H25" s="100" t="str">
        <f>IF(B38&gt;0,FLOOR((LEFT(H28,2)/40-(G55/1659))*40,1)&amp;" uur"&amp;IF((ROUND(((LEFT(H28,2)/40-(G55/1659))*40-FLOOR((LEFT(H28,2)/40-(G55/1659))*40,1))*60,0))=0,""," en "&amp;ROUND(((LEFT(H28,2)/40-(G55/1659))*40-FLOOR((LEFT(H28,2)/40-(G55/1659))*40,1))*60,0)&amp;" minuten"),IF(G35&gt;0,FLOOR((LEFT(H28,2)/40-(G55/1659))*40,1)&amp;" uur"&amp;IF((ROUND(((LEFT(H28,2)/40-(G55/1659))*40-FLOOR((LEFT(H28,2)/40-(G55/1659))*40,1))*60,0))=0,""," en "&amp;ROUND(((LEFT(H28,2)/40-(G55/1659))*40-FLOOR((LEFT(H28,2)/40-(G55/1659))*40,1))*60,0)&amp;" minuten"),""))</f>
        <v/>
      </c>
      <c r="I25" s="31"/>
      <c r="J25" s="32"/>
      <c r="K25" s="133"/>
      <c r="L25" s="133"/>
      <c r="M25" s="133"/>
      <c r="N25" s="133"/>
      <c r="O25" s="133"/>
      <c r="P25" s="13"/>
      <c r="Q25" s="13"/>
      <c r="S25" s="35">
        <f ca="1">YEAR(NOW())-YEAR(C36)</f>
        <v>126</v>
      </c>
      <c r="T25" s="4">
        <f ca="1">YEAR(NOW())</f>
        <v>2026</v>
      </c>
    </row>
    <row r="26" spans="1:20" x14ac:dyDescent="0.2">
      <c r="A26" s="8"/>
      <c r="B26" s="8"/>
      <c r="C26" s="8"/>
      <c r="D26" s="2"/>
      <c r="E26" s="2"/>
      <c r="F26" s="99"/>
      <c r="G26" s="99"/>
      <c r="H26" s="100"/>
      <c r="I26" s="8"/>
      <c r="K26" s="133"/>
      <c r="L26" s="133"/>
      <c r="M26" s="133"/>
      <c r="N26" s="133"/>
      <c r="O26" s="133"/>
      <c r="P26" s="13"/>
      <c r="Q26" s="13"/>
      <c r="S26" s="40">
        <v>21459</v>
      </c>
      <c r="T26" s="40">
        <f ca="1">DATE((T25-57),MONTH(B36),DAY(B36))</f>
        <v>25203</v>
      </c>
    </row>
    <row r="27" spans="1:20" ht="13.5" customHeight="1" thickBot="1" x14ac:dyDescent="0.25">
      <c r="A27" s="18" t="s">
        <v>21</v>
      </c>
      <c r="B27" s="8"/>
      <c r="C27" s="8"/>
      <c r="D27" s="2"/>
      <c r="E27" s="2"/>
      <c r="F27" s="8"/>
      <c r="G27" s="8"/>
      <c r="H27" s="8"/>
      <c r="I27" s="8"/>
      <c r="K27" s="140"/>
      <c r="L27" s="140"/>
      <c r="M27" s="140"/>
      <c r="N27" s="140"/>
      <c r="O27" s="140"/>
      <c r="P27" s="13"/>
      <c r="Q27" s="13"/>
      <c r="S27" s="40"/>
      <c r="T27" s="4" t="str">
        <f>IF(B36="","",IF(B36&lt;=S26,"Overgangsregeling 56+",IF(B36&lt;=T26,"Basis en bijzonder budget","")))</f>
        <v/>
      </c>
    </row>
    <row r="28" spans="1:20" ht="12.75" customHeight="1" x14ac:dyDescent="0.2">
      <c r="A28" s="178" t="s">
        <v>76</v>
      </c>
      <c r="B28" s="179"/>
      <c r="C28" s="179"/>
      <c r="D28" s="141"/>
      <c r="E28" s="142"/>
      <c r="F28" s="194" t="s">
        <v>24</v>
      </c>
      <c r="G28" s="143"/>
      <c r="H28" s="144">
        <f>IFERROR(ROUND((G23-G34/C10*H26+(D28+D28*H10+D29)/41.475),0)&amp;" uur",0)</f>
        <v>0</v>
      </c>
      <c r="I28" s="178"/>
      <c r="J28" s="195"/>
      <c r="K28" s="182" t="s">
        <v>77</v>
      </c>
      <c r="L28" s="182"/>
      <c r="M28" s="182"/>
      <c r="N28" s="182"/>
      <c r="O28" s="182"/>
      <c r="P28" s="13"/>
      <c r="Q28" s="13"/>
      <c r="T28" s="4" t="str">
        <f>IF(B36="","",IF(B36&lt;=S26,"Basis en bijzonder budget",IF(B36&lt;=T26,"Enkel basis budget","")))</f>
        <v/>
      </c>
    </row>
    <row r="29" spans="1:20" ht="13.5" customHeight="1" thickBot="1" x14ac:dyDescent="0.25">
      <c r="A29" s="178" t="s">
        <v>78</v>
      </c>
      <c r="B29" s="179"/>
      <c r="C29" s="196"/>
      <c r="D29" s="141"/>
      <c r="E29" s="142"/>
      <c r="F29" s="194"/>
      <c r="G29" s="143"/>
      <c r="H29" s="145"/>
      <c r="I29" s="178"/>
      <c r="J29" s="195"/>
      <c r="K29" s="182"/>
      <c r="L29" s="182"/>
      <c r="M29" s="182"/>
      <c r="N29" s="182"/>
      <c r="O29" s="182"/>
      <c r="P29" s="13"/>
      <c r="Q29" s="13"/>
      <c r="R29" s="44"/>
      <c r="T29" s="4" t="str">
        <f>IF(B36="","",IF(B36&lt;=S26,"Enkel basis budget",""))</f>
        <v/>
      </c>
    </row>
    <row r="30" spans="1:20" x14ac:dyDescent="0.2">
      <c r="A30" s="171"/>
      <c r="B30" s="171"/>
      <c r="C30" s="171"/>
      <c r="D30" s="168"/>
      <c r="E30" s="168"/>
      <c r="F30" s="197" t="s">
        <v>26</v>
      </c>
      <c r="G30" s="173"/>
      <c r="H30" s="174" t="str">
        <f>IF(H28=0,"",LEFT(H28,2)/40)</f>
        <v/>
      </c>
      <c r="I30" s="171"/>
      <c r="J30" s="175"/>
      <c r="K30" s="192"/>
      <c r="L30" s="192"/>
      <c r="M30" s="192"/>
      <c r="N30" s="192"/>
      <c r="O30" s="192"/>
      <c r="P30" s="13"/>
      <c r="Q30" s="13"/>
    </row>
    <row r="31" spans="1:20" s="46" customFormat="1" x14ac:dyDescent="0.2">
      <c r="A31" s="8"/>
      <c r="B31" s="8"/>
      <c r="C31" s="8"/>
      <c r="D31" s="2"/>
      <c r="E31" s="2"/>
      <c r="F31" s="8"/>
      <c r="G31" s="8"/>
      <c r="H31" s="8"/>
      <c r="I31" s="8"/>
      <c r="J31" s="37"/>
      <c r="K31" s="193" t="s">
        <v>107</v>
      </c>
      <c r="L31" s="193"/>
      <c r="M31" s="193"/>
      <c r="N31" s="193"/>
      <c r="O31" s="193"/>
      <c r="P31" s="45"/>
      <c r="Q31" s="45"/>
    </row>
    <row r="32" spans="1:20" x14ac:dyDescent="0.2">
      <c r="A32" s="8" t="s">
        <v>27</v>
      </c>
      <c r="B32" s="2"/>
      <c r="C32" s="2"/>
      <c r="D32" s="2"/>
      <c r="E32" s="2"/>
      <c r="F32" s="8"/>
      <c r="G32" s="8"/>
      <c r="H32" s="8"/>
      <c r="I32" s="8"/>
      <c r="K32" s="103"/>
      <c r="L32" s="103"/>
      <c r="M32" s="103"/>
      <c r="N32" s="103"/>
      <c r="O32" s="103"/>
      <c r="S32" s="4" t="s">
        <v>28</v>
      </c>
    </row>
    <row r="33" spans="1:22" x14ac:dyDescent="0.2">
      <c r="A33" s="2" t="s">
        <v>98</v>
      </c>
      <c r="B33" s="109"/>
      <c r="C33" s="109"/>
      <c r="E33" s="2"/>
      <c r="F33" s="8"/>
      <c r="G33" s="8"/>
      <c r="H33" s="8"/>
      <c r="I33" s="8"/>
      <c r="K33" s="57"/>
      <c r="L33" s="57"/>
      <c r="M33" s="57"/>
      <c r="N33" s="57"/>
      <c r="O33" s="57"/>
    </row>
    <row r="34" spans="1:22" x14ac:dyDescent="0.2">
      <c r="A34" s="2" t="str">
        <f>'wtf OP, obv lesuren'!A29</f>
        <v>Vrij geroosterde lesuren</v>
      </c>
      <c r="B34" s="146"/>
      <c r="C34" s="147"/>
      <c r="D34" s="2" t="str">
        <f>IF(B34="ja","Aantal lesuren verlof per jaar","")</f>
        <v/>
      </c>
      <c r="E34" s="8"/>
      <c r="F34" s="8"/>
      <c r="G34" s="47"/>
      <c r="H34" s="2"/>
      <c r="I34" s="8"/>
      <c r="K34" s="57"/>
      <c r="L34" s="57"/>
      <c r="M34" s="57"/>
      <c r="N34" s="57"/>
      <c r="O34" s="57"/>
    </row>
    <row r="35" spans="1:22" x14ac:dyDescent="0.2">
      <c r="A35" s="2" t="s">
        <v>31</v>
      </c>
      <c r="B35" s="146"/>
      <c r="C35" s="147"/>
      <c r="D35" s="2" t="str">
        <f>IF(B35="Ja","Werktijdfactor verlof","")</f>
        <v/>
      </c>
      <c r="E35" s="2"/>
      <c r="F35" s="2"/>
      <c r="G35" s="47"/>
      <c r="H35" s="2"/>
      <c r="I35" s="8"/>
      <c r="K35" s="57"/>
      <c r="L35" s="57"/>
      <c r="M35" s="57"/>
      <c r="N35" s="57"/>
      <c r="O35" s="57"/>
    </row>
    <row r="36" spans="1:22" x14ac:dyDescent="0.2">
      <c r="A36" s="178" t="s">
        <v>32</v>
      </c>
      <c r="B36" s="146"/>
      <c r="C36" s="147"/>
      <c r="D36" s="178"/>
      <c r="E36" s="198" t="str">
        <f>IF(B38&gt;0,"Verdeling uren verlof duurz. inz.","")</f>
        <v/>
      </c>
      <c r="F36" s="198"/>
      <c r="G36" s="198"/>
      <c r="H36" s="198"/>
      <c r="I36" s="178"/>
      <c r="J36" s="181"/>
      <c r="K36" s="167" t="s">
        <v>96</v>
      </c>
      <c r="L36" s="167"/>
      <c r="M36" s="167"/>
      <c r="N36" s="167"/>
      <c r="O36" s="167"/>
      <c r="P36" s="8"/>
      <c r="Q36" s="8"/>
      <c r="R36" s="4">
        <f>2014-1958</f>
        <v>56</v>
      </c>
      <c r="S36" s="4" t="s">
        <v>33</v>
      </c>
    </row>
    <row r="37" spans="1:22" x14ac:dyDescent="0.2">
      <c r="A37" s="178" t="str">
        <f>IF(B36="","",IF($B$36&lt;$S$26,"Recht duurzame inzetbaarheid",IF($B$36&lt;=$T$26,"Recht duurzame inzetbaarheid","")))</f>
        <v/>
      </c>
      <c r="B37" s="199" t="s">
        <v>100</v>
      </c>
      <c r="C37" s="199"/>
      <c r="D37" s="196"/>
      <c r="E37" s="178"/>
      <c r="F37" s="184" t="str">
        <f>IF(B38&gt;0,"Lesuren","")</f>
        <v/>
      </c>
      <c r="G37" s="184" t="str">
        <f>IF(B38&gt;0,"v/n-werk","")</f>
        <v/>
      </c>
      <c r="H37" s="184" t="str">
        <f>IF(B38&gt;0,"Taakuren","")</f>
        <v/>
      </c>
      <c r="I37" s="178"/>
      <c r="J37" s="181"/>
      <c r="K37" s="167"/>
      <c r="L37" s="167"/>
      <c r="M37" s="167"/>
      <c r="N37" s="167"/>
      <c r="O37" s="167"/>
      <c r="P37" s="8"/>
      <c r="Q37" s="8"/>
      <c r="S37" s="4" t="s">
        <v>34</v>
      </c>
      <c r="U37" s="53">
        <f>G35*1659</f>
        <v>0</v>
      </c>
      <c r="V37" s="53"/>
    </row>
    <row r="38" spans="1:22" x14ac:dyDescent="0.2">
      <c r="A38" s="178" t="str">
        <f>IF(B37="","",IF(B37="Overgangsregeling 52+","Aantal uur verlof",IF(B37="Overgangsregeling 56+","Aantal uur verlof",IF(B37="Basis en bijzonder budget","Aantal uur verlof",""))))</f>
        <v/>
      </c>
      <c r="B38" s="200"/>
      <c r="C38" s="187" t="str">
        <f>IF(B37="Overgangsregeling 56+",ROUND(170*LEFT(H28,2)/40,0)&amp;" - "&amp;ROUND(340*LEFT(H28,2)/40,0),IF(B37="Overgangsregeling 52+","0 - "&amp;ROUND(170*LEFT(H28,2)/40,0),IF(B37="Basis en bijzonder budget","0 - "&amp;ROUND(170*LEFT(H28,2)/40,0),"")))</f>
        <v/>
      </c>
      <c r="D38" s="178" t="str">
        <f>IF(G35&gt;0,"Lesuren","")</f>
        <v/>
      </c>
      <c r="E38" s="178" t="str">
        <f>IFERROR(ROUND(IF(G35&gt;0,U38*U37,""),0),"")</f>
        <v/>
      </c>
      <c r="F38" s="186"/>
      <c r="G38" s="186"/>
      <c r="H38" s="186"/>
      <c r="I38" s="179"/>
      <c r="J38" s="181"/>
      <c r="K38" s="167"/>
      <c r="L38" s="167"/>
      <c r="M38" s="167"/>
      <c r="N38" s="167"/>
      <c r="O38" s="167"/>
      <c r="P38" s="8"/>
      <c r="Q38" s="8"/>
      <c r="S38" s="55">
        <f>ROUND(F23*C10+D28-G34,0)</f>
        <v>0</v>
      </c>
      <c r="T38" s="53"/>
      <c r="U38" s="56" t="e">
        <f>S38/SUM($S$38:$S$43)</f>
        <v>#DIV/0!</v>
      </c>
      <c r="V38" s="53" t="str">
        <f>IFERROR(U38*$U$37,"")</f>
        <v/>
      </c>
    </row>
    <row r="39" spans="1:22" x14ac:dyDescent="0.2">
      <c r="A39" s="180" t="str">
        <f>IF(G35&gt;0,"Verdeling uren ouderschapsverlof","")</f>
        <v/>
      </c>
      <c r="B39" s="180"/>
      <c r="C39" s="180"/>
      <c r="D39" s="178" t="str">
        <f>IF(G35&gt;0,"v/n-werk","")</f>
        <v/>
      </c>
      <c r="E39" s="178"/>
      <c r="F39" s="148" t="str">
        <f>IFERROR(ROUND(IF(G35&gt;0,U40*U37,""),0),"")</f>
        <v/>
      </c>
      <c r="G39" s="201" t="str">
        <f>IF(B38&gt;0,IF(B38&gt;SUM(F38:H38),"nog "&amp;B38-SUM(F38:H38)&amp;" uur",IF(B38=SUM(F38:H38),"verdeeld","te veel uren")),IF(G35&gt;0,"Taakuren",""))</f>
        <v/>
      </c>
      <c r="H39" s="178" t="str">
        <f>IFERROR(ROUND(IF(G35&gt;0,U43*U37,""),0),"")</f>
        <v/>
      </c>
      <c r="I39" s="179"/>
      <c r="J39" s="181"/>
      <c r="K39" s="167"/>
      <c r="L39" s="167"/>
      <c r="M39" s="167"/>
      <c r="N39" s="167"/>
      <c r="O39" s="167"/>
      <c r="P39" s="8"/>
      <c r="Q39" s="8"/>
      <c r="S39" s="55"/>
      <c r="T39" s="53"/>
      <c r="U39" s="56"/>
      <c r="V39" s="53"/>
    </row>
    <row r="40" spans="1:22" x14ac:dyDescent="0.2">
      <c r="A40" s="168"/>
      <c r="B40" s="171"/>
      <c r="C40" s="171"/>
      <c r="D40" s="188" t="str">
        <f>IF(G35&gt;0,"Professionalisering","")</f>
        <v/>
      </c>
      <c r="E40" s="168"/>
      <c r="F40" s="189" t="str">
        <f>IFERROR(ROUND(IF(G35&gt;0,U41*U37,""),0),"")</f>
        <v/>
      </c>
      <c r="G40" s="202" t="str">
        <f>IF(G35&gt;0,"Duurz. inz.","")</f>
        <v/>
      </c>
      <c r="H40" s="190" t="str">
        <f>IFERROR(ROUND(IF(G35&gt;0,U42*U37,""),0),"")</f>
        <v/>
      </c>
      <c r="I40" s="171"/>
      <c r="J40" s="175"/>
      <c r="K40" s="203"/>
      <c r="L40" s="203"/>
      <c r="M40" s="203"/>
      <c r="N40" s="203"/>
      <c r="O40" s="203"/>
      <c r="P40" s="8"/>
      <c r="Q40" s="8"/>
      <c r="S40" s="53">
        <f>ROUND(S38*H10,0)</f>
        <v>0</v>
      </c>
      <c r="T40" s="55">
        <f>S38+S40</f>
        <v>0</v>
      </c>
      <c r="U40" s="56" t="e">
        <f t="shared" ref="U40:U43" si="0">S40/SUM($S$38:$S$43)</f>
        <v>#DIV/0!</v>
      </c>
      <c r="V40" s="53" t="e">
        <f t="shared" ref="V40:V43" si="1">U40*$U$37</f>
        <v>#DIV/0!</v>
      </c>
    </row>
    <row r="41" spans="1:22" x14ac:dyDescent="0.2">
      <c r="A41" s="2"/>
      <c r="B41" s="8"/>
      <c r="C41" s="8"/>
      <c r="D41" s="2"/>
      <c r="E41" s="2"/>
      <c r="F41" s="8"/>
      <c r="G41" s="8"/>
      <c r="H41" s="8"/>
      <c r="I41" s="8"/>
      <c r="J41" s="37"/>
      <c r="K41" s="8"/>
      <c r="L41" s="8"/>
      <c r="M41" s="8"/>
      <c r="N41" s="8"/>
      <c r="O41" s="8"/>
      <c r="P41" s="8"/>
      <c r="Q41" s="8"/>
      <c r="S41" s="55">
        <f>ROUND(LEFT(H28,2)/40*2*41.475,0)</f>
        <v>0</v>
      </c>
      <c r="T41" s="53"/>
      <c r="U41" s="56" t="e">
        <f t="shared" si="0"/>
        <v>#DIV/0!</v>
      </c>
      <c r="V41" s="53" t="e">
        <f t="shared" si="1"/>
        <v>#DIV/0!</v>
      </c>
    </row>
    <row r="42" spans="1:22" x14ac:dyDescent="0.2">
      <c r="A42" s="8" t="s">
        <v>35</v>
      </c>
      <c r="B42" s="8"/>
      <c r="C42" s="8"/>
      <c r="D42" s="2"/>
      <c r="E42" s="2"/>
      <c r="F42" s="8"/>
      <c r="G42" s="8"/>
      <c r="H42" s="8"/>
      <c r="I42" s="8"/>
      <c r="J42" s="37"/>
      <c r="K42" s="101" t="s">
        <v>37</v>
      </c>
      <c r="L42" s="101"/>
      <c r="M42" s="101"/>
      <c r="N42" s="101"/>
      <c r="O42" s="101"/>
      <c r="P42" s="74">
        <f>C56+C103+G56</f>
        <v>0</v>
      </c>
      <c r="Q42" s="8"/>
      <c r="R42" s="4" t="str">
        <f>IF(B38&gt;0,IF(B38&gt;SUM(F38:H38),"nog "&amp;B38-SUM(F38:H38)&amp;" uren te vullen",IF(B38=SUM(F38:H38),"verlof is verdeeld","te veel verlofuren ingevuld")),"")</f>
        <v/>
      </c>
      <c r="S42" s="55">
        <f>ROUND(IF(A38="",ROUND(LEFT(H28,2)/40*40,0),ROUND(VLOOKUP(B37,$S$52:$T$56,2,FALSE)*LEFT(H28,2)/40,0))-B38,0)</f>
        <v>0</v>
      </c>
      <c r="T42" s="53"/>
      <c r="U42" s="56" t="e">
        <f t="shared" si="0"/>
        <v>#DIV/0!</v>
      </c>
      <c r="V42" s="53" t="e">
        <f t="shared" si="1"/>
        <v>#DIV/0!</v>
      </c>
    </row>
    <row r="43" spans="1:22" x14ac:dyDescent="0.2">
      <c r="A43" s="51" t="s">
        <v>36</v>
      </c>
      <c r="B43" s="8"/>
      <c r="C43" s="149"/>
      <c r="D43" s="2"/>
      <c r="E43" s="2"/>
      <c r="F43" s="8"/>
      <c r="G43" s="8"/>
      <c r="H43" s="8"/>
      <c r="I43" s="8"/>
      <c r="J43" s="37"/>
      <c r="K43" s="101"/>
      <c r="L43" s="101"/>
      <c r="M43" s="101"/>
      <c r="N43" s="101"/>
      <c r="O43" s="101"/>
      <c r="P43" s="8"/>
      <c r="Q43" s="8"/>
      <c r="S43" s="53">
        <f>IFERROR(ROUND(T60,0),0)</f>
        <v>0</v>
      </c>
      <c r="T43" s="53"/>
      <c r="U43" s="56" t="e">
        <f t="shared" si="0"/>
        <v>#DIV/0!</v>
      </c>
      <c r="V43" s="53" t="e">
        <f t="shared" si="1"/>
        <v>#DIV/0!</v>
      </c>
    </row>
    <row r="44" spans="1:22" x14ac:dyDescent="0.2">
      <c r="A44" s="51" t="s">
        <v>38</v>
      </c>
      <c r="B44" s="8"/>
      <c r="C44" s="149"/>
      <c r="D44" s="2"/>
      <c r="E44" s="2"/>
      <c r="F44" s="8"/>
      <c r="G44" s="8"/>
      <c r="H44" s="8"/>
      <c r="I44" s="8"/>
      <c r="J44" s="37"/>
      <c r="K44" s="101"/>
      <c r="L44" s="101"/>
      <c r="M44" s="101"/>
      <c r="N44" s="101"/>
      <c r="O44" s="101"/>
    </row>
    <row r="45" spans="1:22" x14ac:dyDescent="0.2">
      <c r="A45" s="51" t="s">
        <v>39</v>
      </c>
      <c r="B45" s="8"/>
      <c r="C45" s="149"/>
      <c r="D45" s="2"/>
      <c r="E45" s="2"/>
      <c r="F45" s="8"/>
      <c r="G45" s="8"/>
      <c r="H45" s="8"/>
      <c r="I45" s="8"/>
      <c r="J45" s="37"/>
      <c r="K45" s="101"/>
      <c r="L45" s="101"/>
      <c r="M45" s="101"/>
      <c r="N45" s="101"/>
      <c r="O45" s="101"/>
      <c r="P45" s="8"/>
      <c r="Q45" s="8"/>
    </row>
    <row r="46" spans="1:22" x14ac:dyDescent="0.2">
      <c r="A46" s="51" t="s">
        <v>40</v>
      </c>
      <c r="B46" s="8"/>
      <c r="C46" s="149"/>
      <c r="D46" s="2"/>
      <c r="E46" s="2"/>
      <c r="F46" s="8"/>
      <c r="G46" s="8"/>
      <c r="H46" s="8"/>
      <c r="I46" s="8"/>
      <c r="J46" s="37"/>
      <c r="K46" s="37"/>
      <c r="L46" s="37"/>
      <c r="M46" s="37"/>
      <c r="N46" s="37"/>
      <c r="O46" s="37"/>
      <c r="P46" s="8"/>
      <c r="Q46" s="8"/>
    </row>
    <row r="47" spans="1:22" x14ac:dyDescent="0.2">
      <c r="A47" s="8" t="s">
        <v>20</v>
      </c>
      <c r="B47" s="8"/>
      <c r="C47" s="59">
        <f>SUM(C43:C46)</f>
        <v>0</v>
      </c>
      <c r="D47" s="2"/>
      <c r="E47" s="2"/>
      <c r="F47" s="8"/>
      <c r="G47" s="8"/>
      <c r="H47" s="8"/>
      <c r="I47" s="8"/>
      <c r="J47" s="37"/>
      <c r="K47" s="37"/>
      <c r="L47" s="37"/>
      <c r="M47" s="37"/>
      <c r="N47" s="37"/>
      <c r="O47" s="37"/>
      <c r="P47" s="8"/>
      <c r="Q47" s="8"/>
    </row>
    <row r="48" spans="1:22" ht="13.5" thickBot="1" x14ac:dyDescent="0.25">
      <c r="A48" s="168"/>
      <c r="B48" s="171"/>
      <c r="C48" s="171"/>
      <c r="D48" s="168"/>
      <c r="E48" s="168"/>
      <c r="F48" s="171"/>
      <c r="G48" s="171"/>
      <c r="H48" s="171"/>
      <c r="I48" s="60"/>
      <c r="J48" s="150"/>
      <c r="K48" s="37"/>
      <c r="L48" s="37"/>
      <c r="M48" s="37"/>
      <c r="N48" s="37"/>
      <c r="O48" s="37"/>
      <c r="P48" s="8"/>
      <c r="Q48" s="8"/>
    </row>
    <row r="49" spans="1:20" x14ac:dyDescent="0.2">
      <c r="A49" s="8"/>
      <c r="B49" s="8"/>
      <c r="C49" s="8"/>
      <c r="D49" s="2"/>
      <c r="E49" s="2"/>
      <c r="F49" s="8"/>
      <c r="G49" s="8"/>
      <c r="H49" s="14"/>
      <c r="I49" s="14"/>
      <c r="S49" s="4" t="str">
        <f>IF(B37="Overgangsregeling 56+",ROUND(340*LEFT(H28,2)/40,0),IF(B37="Overgangsregeling 52+",ROUND(170*LEFT(H28,2)/40,0),IF(B37="Basis en bijzonder budget",ROUND(170*LEFT(H28,2)/40,0),"")))</f>
        <v/>
      </c>
    </row>
    <row r="50" spans="1:20" x14ac:dyDescent="0.2">
      <c r="A50" s="14" t="s">
        <v>41</v>
      </c>
      <c r="B50" s="8"/>
      <c r="C50" s="8"/>
      <c r="D50" s="2"/>
      <c r="E50" s="2"/>
      <c r="F50" s="8"/>
      <c r="G50" s="8"/>
      <c r="H50" s="14"/>
      <c r="I50" s="14"/>
    </row>
    <row r="51" spans="1:20" x14ac:dyDescent="0.2">
      <c r="A51" s="14"/>
      <c r="B51" s="8"/>
      <c r="C51" s="8"/>
      <c r="D51" s="2"/>
      <c r="E51" s="2"/>
      <c r="F51" s="8"/>
      <c r="G51" s="14"/>
      <c r="H51" s="14"/>
      <c r="I51" s="14"/>
    </row>
    <row r="52" spans="1:20" x14ac:dyDescent="0.2">
      <c r="A52" s="14" t="s">
        <v>42</v>
      </c>
      <c r="B52" s="2"/>
      <c r="C52" s="8"/>
      <c r="E52" s="63" t="s">
        <v>43</v>
      </c>
      <c r="F52" s="8"/>
      <c r="G52" s="14"/>
      <c r="H52" s="2"/>
      <c r="S52" s="4" t="s">
        <v>44</v>
      </c>
      <c r="T52" s="4">
        <f>130+123</f>
        <v>253</v>
      </c>
    </row>
    <row r="53" spans="1:20" x14ac:dyDescent="0.2">
      <c r="A53" s="2" t="s">
        <v>45</v>
      </c>
      <c r="C53" s="69">
        <f>IFERROR(ROUND(IF(G35&gt;0,T58-V38,T58-F38),0),0)</f>
        <v>0</v>
      </c>
      <c r="D53" s="65"/>
      <c r="E53" s="107" t="str">
        <f>IF(B33="Ja","PDI incl. uren startende werknemer","Professionalisering en duurzame inzetbaarheid")</f>
        <v>Professionalisering en duurzame inzetbaarheid</v>
      </c>
      <c r="F53" s="107"/>
      <c r="G53" s="108">
        <f>IFERROR(ROUND(IF(A38="",ROUND(LEFT(H28,2)/40*IF(B33="Ja",163,123),0),ROUND(VLOOKUP(B37,$S$52:$T$56,2,FALSE)*LEFT(H28,2)/40,0))-B38-V42,0),0)</f>
        <v>0</v>
      </c>
      <c r="H53" s="2"/>
      <c r="S53" s="4" t="s">
        <v>46</v>
      </c>
      <c r="T53" s="4">
        <f>340+123</f>
        <v>463</v>
      </c>
    </row>
    <row r="54" spans="1:20" x14ac:dyDescent="0.2">
      <c r="A54" s="2" t="s">
        <v>47</v>
      </c>
      <c r="B54" s="2"/>
      <c r="C54" s="69">
        <f>IFERROR(ROUND(IF(G35&gt;0,T59-V40,IF(B38&gt;0,T59-G38,T59)),0),0)</f>
        <v>0</v>
      </c>
      <c r="D54" s="64"/>
      <c r="E54" s="107"/>
      <c r="F54" s="107"/>
      <c r="G54" s="108"/>
      <c r="H54" s="68"/>
      <c r="I54" s="68"/>
      <c r="K54" s="67"/>
      <c r="L54" s="67"/>
      <c r="M54" s="67"/>
      <c r="N54" s="67"/>
      <c r="O54" s="67"/>
      <c r="P54" s="68"/>
      <c r="Q54" s="68"/>
      <c r="S54" s="4" t="s">
        <v>48</v>
      </c>
      <c r="T54" s="4">
        <f>130+123</f>
        <v>253</v>
      </c>
    </row>
    <row r="55" spans="1:20" ht="13.5" thickBot="1" x14ac:dyDescent="0.25">
      <c r="A55" s="2" t="s">
        <v>49</v>
      </c>
      <c r="B55" s="2"/>
      <c r="C55" s="69">
        <f>C47</f>
        <v>0</v>
      </c>
      <c r="D55" s="64"/>
      <c r="E55" s="2" t="str">
        <f>IF(B38&gt;0,"Verlof duurz. inz.",IF(G35&gt;0,"Ouderschapsverlof",""))</f>
        <v/>
      </c>
      <c r="F55" s="2"/>
      <c r="G55" s="62">
        <f>ROUND(IF(E55="",0,IF(B38&gt;0,B38,U37)),0)</f>
        <v>0</v>
      </c>
      <c r="H55" s="68"/>
      <c r="I55" s="68"/>
      <c r="K55" s="67"/>
      <c r="L55" s="67"/>
      <c r="M55" s="67"/>
      <c r="N55" s="67"/>
      <c r="O55" s="67"/>
      <c r="P55" s="68"/>
      <c r="Q55" s="151">
        <f>C103+G56+C56</f>
        <v>0</v>
      </c>
    </row>
    <row r="56" spans="1:20" ht="13.5" thickBot="1" x14ac:dyDescent="0.25">
      <c r="A56" s="8" t="s">
        <v>50</v>
      </c>
      <c r="B56" s="8"/>
      <c r="C56" s="152">
        <f>SUM(C53:C55)</f>
        <v>0</v>
      </c>
      <c r="D56" s="72"/>
      <c r="E56" s="8" t="s">
        <v>20</v>
      </c>
      <c r="F56" s="14"/>
      <c r="G56" s="73">
        <f>SUM(G53:G55)</f>
        <v>0</v>
      </c>
      <c r="H56" s="2"/>
      <c r="S56" s="4" t="s">
        <v>51</v>
      </c>
      <c r="T56" s="4">
        <v>123</v>
      </c>
    </row>
    <row r="57" spans="1:20" x14ac:dyDescent="0.2">
      <c r="A57" s="50"/>
      <c r="B57" s="8"/>
      <c r="C57" s="72"/>
      <c r="D57" s="8"/>
      <c r="E57" s="8"/>
      <c r="F57" s="14"/>
      <c r="G57" s="14"/>
      <c r="H57" s="2"/>
    </row>
    <row r="58" spans="1:20" x14ac:dyDescent="0.2">
      <c r="A58" s="14" t="s">
        <v>52</v>
      </c>
      <c r="C58" s="8"/>
      <c r="D58" s="72"/>
      <c r="E58" s="102" t="str">
        <f>IF(C102&lt;0,"LET OP:","")</f>
        <v/>
      </c>
      <c r="F58" s="102"/>
      <c r="G58" s="102"/>
      <c r="H58" s="102"/>
      <c r="K58" s="103" t="s">
        <v>79</v>
      </c>
      <c r="L58" s="103"/>
      <c r="M58" s="103"/>
      <c r="N58" s="103"/>
      <c r="O58" s="103"/>
      <c r="S58" s="2" t="s">
        <v>45</v>
      </c>
      <c r="T58" s="4">
        <f>ROUND(F23*C10+D28-G34,0)</f>
        <v>0</v>
      </c>
    </row>
    <row r="59" spans="1:20" x14ac:dyDescent="0.2">
      <c r="A59" s="77" t="s">
        <v>58</v>
      </c>
      <c r="B59" s="2"/>
      <c r="C59" s="75"/>
      <c r="D59" s="2"/>
      <c r="E59" s="102"/>
      <c r="F59" s="102"/>
      <c r="G59" s="102"/>
      <c r="H59" s="102"/>
      <c r="K59" s="103"/>
      <c r="L59" s="103"/>
      <c r="M59" s="103"/>
      <c r="N59" s="103"/>
      <c r="O59" s="103"/>
      <c r="S59" s="2" t="s">
        <v>47</v>
      </c>
      <c r="T59" s="4">
        <f>ROUND(T58*H10,0)</f>
        <v>0</v>
      </c>
    </row>
    <row r="60" spans="1:20" ht="12.75" customHeight="1" x14ac:dyDescent="0.2">
      <c r="A60" s="77" t="s">
        <v>58</v>
      </c>
      <c r="B60" s="2"/>
      <c r="C60" s="75"/>
      <c r="D60" s="153" t="str">
        <f>IF(C102&lt;0,"De werktijdfactor is te laag om adeze taken te kunnen vervullen. Vul in cel D29 extra uren in of verstrek een extra dagdeel.","")</f>
        <v/>
      </c>
      <c r="E60" s="104"/>
      <c r="F60" s="104"/>
      <c r="G60" s="104"/>
      <c r="H60" s="104"/>
      <c r="K60" s="103"/>
      <c r="L60" s="103"/>
      <c r="M60" s="103"/>
      <c r="N60" s="103"/>
      <c r="O60" s="103"/>
      <c r="S60" s="86" t="s">
        <v>64</v>
      </c>
      <c r="T60" s="4">
        <f>ROUND(1659*(LEFT(H28,2)/40)-T59-T58-ROUND(IF(A38="",ROUND(LEFT(H28,2)/40*IF(B33="Ja",163,123),0),ROUND(VLOOKUP(B37,$S$52:$T$56,2,FALSE)*LEFT(H28,2)/40,0))-B38,0)-C47,0)</f>
        <v>0</v>
      </c>
    </row>
    <row r="61" spans="1:20" ht="12.75" customHeight="1" x14ac:dyDescent="0.2">
      <c r="A61" s="77" t="s">
        <v>58</v>
      </c>
      <c r="B61" s="2"/>
      <c r="C61" s="75"/>
      <c r="D61" s="153"/>
      <c r="E61" s="104"/>
      <c r="F61" s="104"/>
      <c r="G61" s="104"/>
      <c r="H61" s="104"/>
      <c r="K61" s="103"/>
      <c r="L61" s="103"/>
      <c r="M61" s="103"/>
      <c r="N61" s="103"/>
      <c r="O61" s="103"/>
    </row>
    <row r="62" spans="1:20" ht="12.75" customHeight="1" x14ac:dyDescent="0.2">
      <c r="A62" s="77" t="s">
        <v>58</v>
      </c>
      <c r="B62" s="2"/>
      <c r="C62" s="75"/>
      <c r="D62" s="78"/>
      <c r="E62" s="83"/>
      <c r="F62" s="83"/>
      <c r="G62" s="83"/>
      <c r="H62" s="83"/>
      <c r="I62" s="83"/>
      <c r="K62" s="103"/>
      <c r="L62" s="103"/>
      <c r="M62" s="103"/>
      <c r="N62" s="103"/>
      <c r="O62" s="103"/>
    </row>
    <row r="63" spans="1:20" ht="13.15" customHeight="1" x14ac:dyDescent="0.2">
      <c r="A63" s="77" t="s">
        <v>58</v>
      </c>
      <c r="B63" s="2"/>
      <c r="C63" s="75"/>
      <c r="D63" s="78"/>
      <c r="E63" s="105" t="s">
        <v>97</v>
      </c>
      <c r="F63" s="105"/>
      <c r="G63" s="105"/>
      <c r="H63" s="105"/>
      <c r="I63" s="83"/>
      <c r="T63" s="4">
        <f>ROUND(1659*(LEFT(H28,2)/40)-ROUND(IF(A38="",ROUND(LEFT(H28,2)/40*IF(B33="Ja",163,123),0),ROUND(VLOOKUP(B37,$S$52:$T$56,2,FALSE)*LEFT(H28,2)/40,0))-B38,0),0)</f>
        <v>0</v>
      </c>
    </row>
    <row r="64" spans="1:20" x14ac:dyDescent="0.2">
      <c r="A64" s="77" t="s">
        <v>58</v>
      </c>
      <c r="B64" s="2"/>
      <c r="C64" s="75"/>
      <c r="D64" s="72"/>
      <c r="E64" s="81" t="s">
        <v>56</v>
      </c>
      <c r="F64" s="154"/>
      <c r="G64" s="155"/>
      <c r="H64" s="156"/>
      <c r="I64" s="83"/>
      <c r="S64" s="76">
        <f>1659/40*LEFT(H28,2)</f>
        <v>0</v>
      </c>
    </row>
    <row r="65" spans="1:9" ht="12.75" customHeight="1" x14ac:dyDescent="0.2">
      <c r="A65" s="77" t="s">
        <v>58</v>
      </c>
      <c r="B65" s="2"/>
      <c r="C65" s="75"/>
      <c r="D65" s="72"/>
      <c r="E65" s="81" t="s">
        <v>60</v>
      </c>
      <c r="F65" s="154"/>
      <c r="G65" s="155"/>
      <c r="H65" s="156"/>
      <c r="I65" s="83"/>
    </row>
    <row r="66" spans="1:9" x14ac:dyDescent="0.2">
      <c r="A66" s="77" t="s">
        <v>58</v>
      </c>
      <c r="B66" s="2"/>
      <c r="C66" s="75"/>
      <c r="D66" s="72"/>
      <c r="E66" s="81" t="s">
        <v>59</v>
      </c>
      <c r="F66" s="154"/>
      <c r="G66" s="155"/>
      <c r="H66" s="156"/>
      <c r="I66" s="83"/>
    </row>
    <row r="67" spans="1:9" ht="12.75" customHeight="1" x14ac:dyDescent="0.2">
      <c r="A67" s="77" t="s">
        <v>58</v>
      </c>
      <c r="B67" s="2"/>
      <c r="C67" s="75"/>
      <c r="D67" s="72"/>
      <c r="E67" s="82" t="s">
        <v>61</v>
      </c>
      <c r="F67" s="154"/>
      <c r="G67" s="155"/>
      <c r="H67" s="156"/>
      <c r="I67" s="83"/>
    </row>
    <row r="68" spans="1:9" x14ac:dyDescent="0.2">
      <c r="A68" s="77" t="s">
        <v>58</v>
      </c>
      <c r="B68" s="2"/>
      <c r="C68" s="75"/>
      <c r="D68" s="72"/>
      <c r="E68" s="82" t="s">
        <v>62</v>
      </c>
      <c r="F68" s="154"/>
      <c r="G68" s="155"/>
      <c r="H68" s="156"/>
      <c r="I68" s="83"/>
    </row>
    <row r="69" spans="1:9" x14ac:dyDescent="0.2">
      <c r="A69" s="77" t="s">
        <v>58</v>
      </c>
      <c r="B69" s="2"/>
      <c r="C69" s="75"/>
      <c r="D69" s="72"/>
      <c r="E69" s="82" t="s">
        <v>58</v>
      </c>
      <c r="F69" s="154"/>
      <c r="G69" s="155"/>
      <c r="H69" s="156"/>
      <c r="I69" s="83"/>
    </row>
    <row r="70" spans="1:9" x14ac:dyDescent="0.2">
      <c r="A70" s="77" t="s">
        <v>58</v>
      </c>
      <c r="B70" s="2"/>
      <c r="C70" s="75"/>
      <c r="D70" s="72"/>
      <c r="E70" s="82" t="s">
        <v>58</v>
      </c>
      <c r="F70" s="154"/>
      <c r="G70" s="155"/>
      <c r="H70" s="156"/>
      <c r="I70" s="83"/>
    </row>
    <row r="71" spans="1:9" hidden="1" x14ac:dyDescent="0.2">
      <c r="A71" s="77" t="s">
        <v>58</v>
      </c>
      <c r="B71" s="2"/>
      <c r="C71" s="75"/>
      <c r="D71" s="72"/>
      <c r="E71" s="82" t="s">
        <v>58</v>
      </c>
      <c r="F71" s="157"/>
      <c r="G71" s="158"/>
      <c r="H71" s="159"/>
      <c r="I71" s="83"/>
    </row>
    <row r="72" spans="1:9" hidden="1" x14ac:dyDescent="0.2">
      <c r="A72" s="77" t="s">
        <v>58</v>
      </c>
      <c r="B72" s="2"/>
      <c r="C72" s="75"/>
      <c r="D72" s="72"/>
      <c r="E72" s="82" t="s">
        <v>58</v>
      </c>
      <c r="F72" s="157"/>
      <c r="G72" s="158"/>
      <c r="H72" s="159"/>
      <c r="I72" s="83"/>
    </row>
    <row r="73" spans="1:9" hidden="1" x14ac:dyDescent="0.2">
      <c r="A73" s="77" t="s">
        <v>58</v>
      </c>
      <c r="B73" s="2"/>
      <c r="C73" s="75"/>
      <c r="D73" s="72"/>
      <c r="E73" s="82" t="s">
        <v>58</v>
      </c>
      <c r="F73" s="157"/>
      <c r="G73" s="158"/>
      <c r="H73" s="159"/>
      <c r="I73" s="83"/>
    </row>
    <row r="74" spans="1:9" hidden="1" x14ac:dyDescent="0.2">
      <c r="A74" s="77" t="s">
        <v>58</v>
      </c>
      <c r="B74" s="2"/>
      <c r="C74" s="75"/>
      <c r="D74" s="72"/>
      <c r="E74" s="82" t="s">
        <v>58</v>
      </c>
      <c r="F74" s="157"/>
      <c r="G74" s="158"/>
      <c r="H74" s="159"/>
      <c r="I74" s="83"/>
    </row>
    <row r="75" spans="1:9" hidden="1" x14ac:dyDescent="0.2">
      <c r="A75" s="77" t="s">
        <v>58</v>
      </c>
      <c r="B75" s="2"/>
      <c r="C75" s="75"/>
      <c r="D75" s="72"/>
      <c r="E75" s="82" t="s">
        <v>58</v>
      </c>
      <c r="F75" s="157"/>
      <c r="G75" s="158"/>
      <c r="H75" s="159"/>
      <c r="I75" s="83"/>
    </row>
    <row r="76" spans="1:9" hidden="1" x14ac:dyDescent="0.2">
      <c r="A76" s="77" t="s">
        <v>58</v>
      </c>
      <c r="B76" s="2"/>
      <c r="C76" s="75"/>
      <c r="D76" s="72"/>
      <c r="E76" s="82" t="s">
        <v>58</v>
      </c>
      <c r="F76" s="157"/>
      <c r="G76" s="158"/>
      <c r="H76" s="159"/>
      <c r="I76" s="83"/>
    </row>
    <row r="77" spans="1:9" hidden="1" x14ac:dyDescent="0.2">
      <c r="A77" s="77" t="s">
        <v>58</v>
      </c>
      <c r="B77" s="2"/>
      <c r="C77" s="75"/>
      <c r="D77" s="72"/>
      <c r="E77" s="82" t="s">
        <v>58</v>
      </c>
      <c r="F77" s="157"/>
      <c r="G77" s="158"/>
      <c r="H77" s="159"/>
      <c r="I77" s="83"/>
    </row>
    <row r="78" spans="1:9" hidden="1" x14ac:dyDescent="0.2">
      <c r="A78" s="77" t="s">
        <v>58</v>
      </c>
      <c r="B78" s="2"/>
      <c r="C78" s="75"/>
      <c r="D78" s="72"/>
      <c r="E78" s="82" t="s">
        <v>58</v>
      </c>
      <c r="F78" s="157"/>
      <c r="G78" s="158"/>
      <c r="H78" s="159"/>
      <c r="I78" s="83"/>
    </row>
    <row r="79" spans="1:9" hidden="1" x14ac:dyDescent="0.2">
      <c r="A79" s="77" t="s">
        <v>58</v>
      </c>
      <c r="B79" s="2"/>
      <c r="C79" s="75"/>
      <c r="D79" s="72"/>
      <c r="E79" s="82" t="s">
        <v>58</v>
      </c>
      <c r="F79" s="157"/>
      <c r="G79" s="158"/>
      <c r="H79" s="159"/>
      <c r="I79" s="83"/>
    </row>
    <row r="80" spans="1:9" hidden="1" x14ac:dyDescent="0.2">
      <c r="A80" s="77" t="s">
        <v>58</v>
      </c>
      <c r="B80" s="2"/>
      <c r="C80" s="75"/>
      <c r="D80" s="72"/>
      <c r="E80" s="82" t="s">
        <v>58</v>
      </c>
      <c r="F80" s="157"/>
      <c r="G80" s="158"/>
      <c r="H80" s="159"/>
      <c r="I80" s="83"/>
    </row>
    <row r="81" spans="1:9" hidden="1" x14ac:dyDescent="0.2">
      <c r="A81" s="77" t="s">
        <v>58</v>
      </c>
      <c r="B81" s="2"/>
      <c r="C81" s="75"/>
      <c r="D81" s="72"/>
      <c r="E81" s="82" t="s">
        <v>58</v>
      </c>
      <c r="F81" s="157"/>
      <c r="G81" s="158"/>
      <c r="H81" s="159"/>
      <c r="I81" s="83"/>
    </row>
    <row r="82" spans="1:9" hidden="1" x14ac:dyDescent="0.2">
      <c r="A82" s="77" t="s">
        <v>58</v>
      </c>
      <c r="B82" s="2"/>
      <c r="C82" s="75"/>
      <c r="D82" s="72"/>
      <c r="E82" s="82" t="s">
        <v>58</v>
      </c>
      <c r="F82" s="157"/>
      <c r="G82" s="158"/>
      <c r="H82" s="159"/>
      <c r="I82" s="83"/>
    </row>
    <row r="83" spans="1:9" hidden="1" x14ac:dyDescent="0.2">
      <c r="A83" s="77" t="s">
        <v>58</v>
      </c>
      <c r="B83" s="2"/>
      <c r="C83" s="75"/>
      <c r="D83" s="72"/>
      <c r="E83" s="82" t="s">
        <v>58</v>
      </c>
      <c r="F83" s="157"/>
      <c r="G83" s="158"/>
      <c r="H83" s="159"/>
      <c r="I83" s="83"/>
    </row>
    <row r="84" spans="1:9" hidden="1" x14ac:dyDescent="0.2">
      <c r="A84" s="77" t="s">
        <v>58</v>
      </c>
      <c r="B84" s="2"/>
      <c r="C84" s="75"/>
      <c r="D84" s="72"/>
      <c r="E84" s="82" t="s">
        <v>58</v>
      </c>
      <c r="F84" s="157"/>
      <c r="G84" s="158"/>
      <c r="H84" s="159"/>
      <c r="I84" s="83"/>
    </row>
    <row r="85" spans="1:9" hidden="1" x14ac:dyDescent="0.2">
      <c r="A85" s="77" t="s">
        <v>58</v>
      </c>
      <c r="B85" s="2"/>
      <c r="C85" s="75"/>
      <c r="D85" s="72"/>
      <c r="E85" s="82" t="s">
        <v>58</v>
      </c>
      <c r="F85" s="157"/>
      <c r="G85" s="158"/>
      <c r="H85" s="159"/>
      <c r="I85" s="83"/>
    </row>
    <row r="86" spans="1:9" hidden="1" x14ac:dyDescent="0.2">
      <c r="A86" s="77" t="s">
        <v>58</v>
      </c>
      <c r="B86" s="2"/>
      <c r="C86" s="75"/>
      <c r="D86" s="72"/>
      <c r="E86" s="82" t="s">
        <v>58</v>
      </c>
      <c r="F86" s="157"/>
      <c r="G86" s="158"/>
      <c r="H86" s="159"/>
      <c r="I86" s="83"/>
    </row>
    <row r="87" spans="1:9" hidden="1" x14ac:dyDescent="0.2">
      <c r="A87" s="77" t="s">
        <v>58</v>
      </c>
      <c r="B87" s="2"/>
      <c r="C87" s="75"/>
      <c r="D87" s="72"/>
      <c r="E87" s="82" t="s">
        <v>58</v>
      </c>
      <c r="F87" s="157"/>
      <c r="G87" s="158"/>
      <c r="H87" s="159"/>
      <c r="I87" s="83"/>
    </row>
    <row r="88" spans="1:9" hidden="1" x14ac:dyDescent="0.2">
      <c r="A88" s="77" t="s">
        <v>58</v>
      </c>
      <c r="B88" s="2"/>
      <c r="C88" s="75"/>
      <c r="D88" s="72"/>
      <c r="E88" s="82" t="s">
        <v>58</v>
      </c>
      <c r="F88" s="157"/>
      <c r="G88" s="158"/>
      <c r="H88" s="159"/>
      <c r="I88" s="83"/>
    </row>
    <row r="89" spans="1:9" hidden="1" x14ac:dyDescent="0.2">
      <c r="A89" s="77" t="s">
        <v>58</v>
      </c>
      <c r="B89" s="2"/>
      <c r="C89" s="75"/>
      <c r="D89" s="72"/>
      <c r="E89" s="82" t="s">
        <v>58</v>
      </c>
      <c r="F89" s="157"/>
      <c r="G89" s="158"/>
      <c r="H89" s="159"/>
      <c r="I89" s="83"/>
    </row>
    <row r="90" spans="1:9" hidden="1" x14ac:dyDescent="0.2">
      <c r="A90" s="77" t="s">
        <v>58</v>
      </c>
      <c r="B90" s="2"/>
      <c r="C90" s="75"/>
      <c r="D90" s="72"/>
      <c r="E90" s="82" t="s">
        <v>58</v>
      </c>
      <c r="F90" s="157"/>
      <c r="G90" s="158"/>
      <c r="H90" s="159"/>
      <c r="I90" s="83"/>
    </row>
    <row r="91" spans="1:9" hidden="1" x14ac:dyDescent="0.2">
      <c r="A91" s="77" t="s">
        <v>58</v>
      </c>
      <c r="B91" s="2"/>
      <c r="C91" s="75"/>
      <c r="D91" s="72"/>
      <c r="E91" s="82" t="s">
        <v>58</v>
      </c>
      <c r="F91" s="157"/>
      <c r="G91" s="158"/>
      <c r="H91" s="159"/>
      <c r="I91" s="83"/>
    </row>
    <row r="92" spans="1:9" hidden="1" x14ac:dyDescent="0.2">
      <c r="A92" s="77" t="s">
        <v>58</v>
      </c>
      <c r="B92" s="2"/>
      <c r="C92" s="75"/>
      <c r="D92" s="72"/>
      <c r="E92" s="82" t="s">
        <v>58</v>
      </c>
      <c r="F92" s="157"/>
      <c r="G92" s="158"/>
      <c r="H92" s="159"/>
      <c r="I92" s="83"/>
    </row>
    <row r="93" spans="1:9" hidden="1" x14ac:dyDescent="0.2">
      <c r="A93" s="77" t="s">
        <v>58</v>
      </c>
      <c r="B93" s="2"/>
      <c r="C93" s="75"/>
      <c r="D93" s="72"/>
      <c r="E93" s="82" t="s">
        <v>58</v>
      </c>
      <c r="F93" s="157"/>
      <c r="G93" s="158"/>
      <c r="H93" s="159"/>
      <c r="I93" s="83"/>
    </row>
    <row r="94" spans="1:9" hidden="1" x14ac:dyDescent="0.2">
      <c r="A94" s="77" t="s">
        <v>58</v>
      </c>
      <c r="B94" s="2"/>
      <c r="C94" s="75"/>
      <c r="D94" s="72"/>
      <c r="E94" s="82" t="s">
        <v>58</v>
      </c>
      <c r="F94" s="157"/>
      <c r="G94" s="158"/>
      <c r="H94" s="159"/>
      <c r="I94" s="83"/>
    </row>
    <row r="95" spans="1:9" hidden="1" x14ac:dyDescent="0.2">
      <c r="A95" s="77" t="s">
        <v>58</v>
      </c>
      <c r="B95" s="2"/>
      <c r="C95" s="75"/>
      <c r="D95" s="72"/>
      <c r="E95" s="82" t="s">
        <v>58</v>
      </c>
      <c r="F95" s="157"/>
      <c r="G95" s="158"/>
      <c r="H95" s="159"/>
      <c r="I95" s="83"/>
    </row>
    <row r="96" spans="1:9" hidden="1" x14ac:dyDescent="0.2">
      <c r="A96" s="77" t="s">
        <v>58</v>
      </c>
      <c r="B96" s="2"/>
      <c r="C96" s="75"/>
      <c r="D96" s="72"/>
      <c r="E96" s="82" t="s">
        <v>58</v>
      </c>
      <c r="F96" s="157"/>
      <c r="G96" s="158"/>
      <c r="H96" s="159"/>
      <c r="I96" s="83"/>
    </row>
    <row r="97" spans="1:15" hidden="1" x14ac:dyDescent="0.2">
      <c r="A97" s="77" t="s">
        <v>58</v>
      </c>
      <c r="B97" s="2"/>
      <c r="C97" s="75"/>
      <c r="D97" s="72"/>
      <c r="E97" s="82" t="s">
        <v>58</v>
      </c>
      <c r="F97" s="157"/>
      <c r="G97" s="158"/>
      <c r="H97" s="159"/>
      <c r="I97" s="83"/>
    </row>
    <row r="98" spans="1:15" hidden="1" x14ac:dyDescent="0.2">
      <c r="A98" s="77" t="s">
        <v>58</v>
      </c>
      <c r="B98" s="2"/>
      <c r="C98" s="75"/>
      <c r="D98" s="72"/>
      <c r="E98" s="82" t="s">
        <v>58</v>
      </c>
      <c r="F98" s="157"/>
      <c r="G98" s="158"/>
      <c r="H98" s="159"/>
      <c r="I98" s="83"/>
    </row>
    <row r="99" spans="1:15" hidden="1" x14ac:dyDescent="0.2">
      <c r="A99" s="77" t="s">
        <v>58</v>
      </c>
      <c r="B99" s="2"/>
      <c r="C99" s="75"/>
      <c r="D99" s="72"/>
      <c r="E99" s="82" t="s">
        <v>58</v>
      </c>
      <c r="F99" s="157"/>
      <c r="G99" s="158"/>
      <c r="H99" s="159"/>
      <c r="I99" s="83"/>
    </row>
    <row r="100" spans="1:15" ht="13.5" thickBot="1" x14ac:dyDescent="0.25">
      <c r="A100" s="51" t="s">
        <v>58</v>
      </c>
      <c r="B100" s="2"/>
      <c r="C100" s="75"/>
      <c r="D100" s="2"/>
      <c r="E100" s="88" t="s">
        <v>65</v>
      </c>
      <c r="F100" s="122">
        <f>G56-SUM(F64:H99)</f>
        <v>0</v>
      </c>
      <c r="G100" s="122"/>
      <c r="H100" s="122"/>
      <c r="I100" s="83"/>
    </row>
    <row r="101" spans="1:15" ht="13.5" thickBot="1" x14ac:dyDescent="0.25">
      <c r="A101" s="51" t="s">
        <v>63</v>
      </c>
      <c r="B101" s="2"/>
      <c r="C101" s="75"/>
      <c r="D101" s="2"/>
      <c r="E101" s="78" t="s">
        <v>20</v>
      </c>
      <c r="F101" s="119">
        <f>SUM(F64:H100)</f>
        <v>0</v>
      </c>
      <c r="G101" s="120"/>
      <c r="H101" s="121"/>
    </row>
    <row r="102" spans="1:15" ht="13.5" thickBot="1" x14ac:dyDescent="0.25">
      <c r="A102" s="2" t="s">
        <v>64</v>
      </c>
      <c r="B102" s="2"/>
      <c r="C102" s="87">
        <f>IFERROR(IF(G35&gt;0,ROUND(T60-SUM(C59:C101)-V43,0),ROUND(T60-H38-SUM(C59:C101),0)),0)</f>
        <v>0</v>
      </c>
      <c r="D102" s="2"/>
      <c r="E102" s="2"/>
      <c r="F102" s="2"/>
      <c r="G102" s="2"/>
      <c r="H102" s="2"/>
    </row>
    <row r="103" spans="1:15" ht="13.5" thickBot="1" x14ac:dyDescent="0.25">
      <c r="A103" s="8" t="s">
        <v>66</v>
      </c>
      <c r="B103" s="2"/>
      <c r="C103" s="89">
        <f>SUM(C59:C102)</f>
        <v>0</v>
      </c>
      <c r="D103" s="2"/>
      <c r="E103" s="2"/>
      <c r="F103" s="2"/>
      <c r="G103" s="2"/>
      <c r="H103" s="2"/>
    </row>
    <row r="104" spans="1:15" s="2" customFormat="1" x14ac:dyDescent="0.2">
      <c r="J104" s="3"/>
      <c r="K104" s="3"/>
      <c r="L104" s="3"/>
      <c r="M104" s="3"/>
      <c r="N104" s="3"/>
      <c r="O104" s="3"/>
    </row>
    <row r="105" spans="1:15" hidden="1" x14ac:dyDescent="0.2"/>
    <row r="106" spans="1:15" hidden="1" x14ac:dyDescent="0.2"/>
    <row r="107" spans="1:15" hidden="1" x14ac:dyDescent="0.2"/>
    <row r="108" spans="1:15" hidden="1" x14ac:dyDescent="0.2"/>
    <row r="109" spans="1:15" hidden="1" x14ac:dyDescent="0.2"/>
    <row r="110" spans="1:15" hidden="1" x14ac:dyDescent="0.2"/>
    <row r="111" spans="1:15" hidden="1" x14ac:dyDescent="0.2"/>
  </sheetData>
  <mergeCells count="79">
    <mergeCell ref="F99:H99"/>
    <mergeCell ref="F100:H100"/>
    <mergeCell ref="F101:H101"/>
    <mergeCell ref="F93:H93"/>
    <mergeCell ref="F94:H94"/>
    <mergeCell ref="F95:H95"/>
    <mergeCell ref="F96:H96"/>
    <mergeCell ref="F97:H97"/>
    <mergeCell ref="F98:H98"/>
    <mergeCell ref="F92:H92"/>
    <mergeCell ref="F81:H81"/>
    <mergeCell ref="F82:H82"/>
    <mergeCell ref="F83:H83"/>
    <mergeCell ref="F84:H84"/>
    <mergeCell ref="F85:H85"/>
    <mergeCell ref="F86:H86"/>
    <mergeCell ref="F87:H87"/>
    <mergeCell ref="F88:H88"/>
    <mergeCell ref="F89:H89"/>
    <mergeCell ref="F90:H90"/>
    <mergeCell ref="F91:H91"/>
    <mergeCell ref="F80:H80"/>
    <mergeCell ref="F69:H69"/>
    <mergeCell ref="F70:H70"/>
    <mergeCell ref="F71:H71"/>
    <mergeCell ref="F72:H72"/>
    <mergeCell ref="F73:H73"/>
    <mergeCell ref="F74:H74"/>
    <mergeCell ref="F75:H75"/>
    <mergeCell ref="F76:H76"/>
    <mergeCell ref="F77:H77"/>
    <mergeCell ref="F78:H78"/>
    <mergeCell ref="F79:H79"/>
    <mergeCell ref="F68:H68"/>
    <mergeCell ref="K42:O45"/>
    <mergeCell ref="E53:F54"/>
    <mergeCell ref="G53:G54"/>
    <mergeCell ref="E58:H59"/>
    <mergeCell ref="K58:O62"/>
    <mergeCell ref="D60:H61"/>
    <mergeCell ref="E63:H63"/>
    <mergeCell ref="F64:H64"/>
    <mergeCell ref="F65:H65"/>
    <mergeCell ref="F66:H66"/>
    <mergeCell ref="F67:H67"/>
    <mergeCell ref="K28:O30"/>
    <mergeCell ref="K31:O32"/>
    <mergeCell ref="B33:C33"/>
    <mergeCell ref="B34:C34"/>
    <mergeCell ref="B35:C35"/>
    <mergeCell ref="F28:G29"/>
    <mergeCell ref="H28:H29"/>
    <mergeCell ref="B36:C36"/>
    <mergeCell ref="E36:H36"/>
    <mergeCell ref="K36:O40"/>
    <mergeCell ref="B37:C37"/>
    <mergeCell ref="A39:C39"/>
    <mergeCell ref="B7:D7"/>
    <mergeCell ref="B8:I8"/>
    <mergeCell ref="K12:O15"/>
    <mergeCell ref="B15:D15"/>
    <mergeCell ref="F15:H15"/>
    <mergeCell ref="B16:B17"/>
    <mergeCell ref="C16:D16"/>
    <mergeCell ref="F16:F17"/>
    <mergeCell ref="G16:H16"/>
    <mergeCell ref="K16:O26"/>
    <mergeCell ref="C23:D23"/>
    <mergeCell ref="G23:H23"/>
    <mergeCell ref="C24:E24"/>
    <mergeCell ref="F25:G26"/>
    <mergeCell ref="H25:H26"/>
    <mergeCell ref="C2:D2"/>
    <mergeCell ref="B5:D5"/>
    <mergeCell ref="F5:G5"/>
    <mergeCell ref="H5:I5"/>
    <mergeCell ref="B6:D6"/>
    <mergeCell ref="F6:G6"/>
    <mergeCell ref="H6:I6"/>
  </mergeCells>
  <conditionalFormatting sqref="A38:H38">
    <cfRule type="cellIs" dxfId="32" priority="3" operator="equal">
      <formula>$D$38&lt;&gt;"Lesuren"</formula>
    </cfRule>
  </conditionalFormatting>
  <conditionalFormatting sqref="B38">
    <cfRule type="cellIs" dxfId="31" priority="12" operator="equal">
      <formula>$A$38&lt;&gt;"Aantal uur verlof"</formula>
    </cfRule>
    <cfRule type="cellIs" dxfId="30" priority="13" operator="equal">
      <formula>""""""</formula>
    </cfRule>
    <cfRule type="cellIs" dxfId="29" priority="14" operator="between">
      <formula>1</formula>
      <formula>500</formula>
    </cfRule>
  </conditionalFormatting>
  <conditionalFormatting sqref="B37:C37">
    <cfRule type="containsText" dxfId="28" priority="15" operator="containsText" text="e">
      <formula>NOT(ISERROR(SEARCH("e",B37)))</formula>
    </cfRule>
    <cfRule type="cellIs" dxfId="27" priority="16" operator="equal">
      <formula>$A$37&lt;&gt;"Recht duurzame inzetbaarheid"</formula>
    </cfRule>
  </conditionalFormatting>
  <conditionalFormatting sqref="B37:H37">
    <cfRule type="cellIs" dxfId="26" priority="2" operator="equal">
      <formula>$D$38&lt;&gt;"Lesuren"</formula>
    </cfRule>
  </conditionalFormatting>
  <conditionalFormatting sqref="C53:C55">
    <cfRule type="cellIs" dxfId="25" priority="7" operator="equal">
      <formula>$D$53&lt;&gt;"Niet toegestaan"</formula>
    </cfRule>
  </conditionalFormatting>
  <conditionalFormatting sqref="F38">
    <cfRule type="cellIs" dxfId="24" priority="11" operator="equal">
      <formula>$F$37&lt;&gt;"Lesuren"</formula>
    </cfRule>
  </conditionalFormatting>
  <conditionalFormatting sqref="F100">
    <cfRule type="cellIs" dxfId="23" priority="1" operator="lessThan">
      <formula>0</formula>
    </cfRule>
  </conditionalFormatting>
  <conditionalFormatting sqref="F38:H38">
    <cfRule type="cellIs" dxfId="22" priority="8" operator="greaterThan">
      <formula>0</formula>
    </cfRule>
  </conditionalFormatting>
  <conditionalFormatting sqref="G34">
    <cfRule type="cellIs" dxfId="21" priority="17" operator="equal">
      <formula>$B$34&lt;&gt;"Ja"</formula>
    </cfRule>
    <cfRule type="cellIs" dxfId="20" priority="18" operator="between">
      <formula>1</formula>
      <formula>1300</formula>
    </cfRule>
  </conditionalFormatting>
  <conditionalFormatting sqref="G35">
    <cfRule type="cellIs" dxfId="19" priority="19" operator="equal">
      <formula>$B$35&lt;&gt;"Ja"</formula>
    </cfRule>
    <cfRule type="cellIs" dxfId="18" priority="20" operator="between">
      <formula>0.0001</formula>
      <formula>2</formula>
    </cfRule>
  </conditionalFormatting>
  <conditionalFormatting sqref="G38">
    <cfRule type="cellIs" dxfId="17" priority="10" operator="equal">
      <formula>$G$37&lt;&gt;"v/n-werk"</formula>
    </cfRule>
  </conditionalFormatting>
  <conditionalFormatting sqref="G39">
    <cfRule type="containsText" dxfId="16" priority="4" operator="containsText" text="Taakuren">
      <formula>NOT(ISERROR(SEARCH("Taakuren",G39)))</formula>
    </cfRule>
  </conditionalFormatting>
  <conditionalFormatting sqref="G40">
    <cfRule type="containsText" dxfId="15" priority="5" operator="containsText" text="Duurz. Inz.">
      <formula>NOT(ISERROR(SEARCH("Duurz. Inz.",G40)))</formula>
    </cfRule>
  </conditionalFormatting>
  <conditionalFormatting sqref="H24">
    <cfRule type="containsText" dxfId="14" priority="6" operator="containsText" text="u">
      <formula>NOT(ISERROR(SEARCH("u",#REF!)))</formula>
    </cfRule>
  </conditionalFormatting>
  <conditionalFormatting sqref="H25:H26">
    <cfRule type="containsText" dxfId="13" priority="21" operator="containsText" text="u">
      <formula>NOT(ISERROR(SEARCH("u",H25)))</formula>
    </cfRule>
    <cfRule type="cellIs" dxfId="12" priority="22" operator="equal">
      <formula>$E$34&lt;&gt;"Lesuren"</formula>
    </cfRule>
  </conditionalFormatting>
  <conditionalFormatting sqref="H38">
    <cfRule type="cellIs" dxfId="11" priority="9" operator="equal">
      <formula>$H$37&lt;&gt;"Taakuren"</formula>
    </cfRule>
  </conditionalFormatting>
  <dataValidations count="8">
    <dataValidation type="whole" allowBlank="1" showInputMessage="1" showErrorMessage="1" errorTitle="Foutieve invoer" error="Het aantal uur verlof past niet binnen uw budget" sqref="B38" xr:uid="{A0953F04-D5CA-4D86-B406-06BDC53A3B9E}">
      <formula1>0</formula1>
      <formula2>IF(B37="Overgangsregeling 56+",ROUND(340*LEFT(H28,2)/40,0),IF(B37="Overgangsregeling 52+",ROUND(170*LEFT(H28,2)/40,0),IF(B37="Basis en bijzonder budget",ROUND(170*LEFT(H28,2)/40,0),"")))</formula2>
    </dataValidation>
    <dataValidation allowBlank="1" showInputMessage="1" showErrorMessage="1" errorTitle="Ongeldige invoer" error="Het aantal ingevulde uren verlof overstijgt het totaal aantal uren voor- en nawerk. Kies voor een lager aantal uur verlof." sqref="G39" xr:uid="{DB1DAA46-C7AC-45E6-A803-C61688CB15B3}"/>
    <dataValidation type="list" allowBlank="1" showInputMessage="1" showErrorMessage="1" sqref="B34:B35 B33:C33" xr:uid="{66B14D47-68F8-42F6-B9A9-1B4480703814}">
      <formula1>"Ja,Nee"</formula1>
    </dataValidation>
    <dataValidation type="whole" allowBlank="1" showInputMessage="1" showErrorMessage="1" errorTitle="Ongeldige invoer" error="Het ingevulde aantal uur verlof overstijgt het beschikbare aantal taakuren. Kies voor een lager aantal uren verlof." sqref="H38:H39" xr:uid="{1B2E41B0-DB21-4560-97C9-361422A2E6A0}">
      <formula1>0</formula1>
      <formula2>T60</formula2>
    </dataValidation>
    <dataValidation type="whole" allowBlank="1" showInputMessage="1" showErrorMessage="1" errorTitle="Ongeldige invoer" error="Het aantal ingevulde uren verlof overstijgt het totaal aantal uren voor- en nawerk. Kies voor een lager aantal uur verlof." sqref="G38" xr:uid="{9C6BCD31-D935-4AA1-8EE5-0AEF96493ED4}">
      <formula1>0</formula1>
      <formula2>T59</formula2>
    </dataValidation>
    <dataValidation type="whole" allowBlank="1" showInputMessage="1" showErrorMessage="1" errorTitle="Ongeldige invoer" error="Het ingevulde aantal uur verlof overstijgt het totaal aantal lesuren. Kies voor een lager aantal uur verlof." sqref="F38:F39" xr:uid="{E4B102B4-6909-4EB9-B62C-1DE1ABF6E52C}">
      <formula1>0</formula1>
      <formula2>T58</formula2>
    </dataValidation>
    <dataValidation type="whole" errorStyle="warning" operator="equal" allowBlank="1" showInputMessage="1" showErrorMessage="1" errorTitle="Let op:" error="Aantal uren wijkt af van het bepaalde schoolrooster" sqref="I18:I22" xr:uid="{4A9F5791-453C-4E2E-8EA4-AF492A0B37F6}">
      <formula1>E18</formula1>
    </dataValidation>
    <dataValidation type="list" allowBlank="1" showInputMessage="1" showErrorMessage="1" sqref="B37:C37" xr:uid="{4D15F573-6BAA-47C3-9E8A-8773EDD44CC1}">
      <formula1>$T$27:$T$29</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Y88"/>
  <sheetViews>
    <sheetView zoomScale="85" zoomScaleNormal="85" workbookViewId="0">
      <selection activeCell="A28" sqref="A28:N28"/>
    </sheetView>
  </sheetViews>
  <sheetFormatPr defaultColWidth="0" defaultRowHeight="0" customHeight="1" zeroHeight="1" x14ac:dyDescent="0.2"/>
  <cols>
    <col min="1" max="1" width="12.28515625" style="4" customWidth="1"/>
    <col min="2" max="3" width="14.28515625" style="4" customWidth="1"/>
    <col min="4" max="4" width="13.7109375" style="4" customWidth="1"/>
    <col min="5" max="6" width="14.28515625" style="4" customWidth="1"/>
    <col min="7" max="7" width="14.42578125" style="4" customWidth="1"/>
    <col min="8" max="8" width="2.7109375" style="2" customWidth="1"/>
    <col min="9" max="9" width="2" style="3" customWidth="1"/>
    <col min="10" max="14" width="13.7109375" style="46" customWidth="1"/>
    <col min="15" max="16" width="13.7109375" style="2" hidden="1" customWidth="1"/>
    <col min="17" max="17" width="10.28515625" style="4" hidden="1" customWidth="1"/>
    <col min="18" max="19" width="9.42578125" style="4" hidden="1" customWidth="1"/>
    <col min="20" max="20" width="10.28515625" style="4" hidden="1" customWidth="1"/>
    <col min="21" max="21" width="9.42578125" style="4" hidden="1" customWidth="1"/>
    <col min="22" max="16384" width="9.28515625" style="4" hidden="1"/>
  </cols>
  <sheetData>
    <row r="1" spans="1:25" ht="12.75" x14ac:dyDescent="0.2">
      <c r="A1" s="1" t="str">
        <f>'wtf OP, obv dagdelen onderbouw'!A1</f>
        <v>Versie januari 2025</v>
      </c>
      <c r="B1" s="2"/>
      <c r="C1" s="2"/>
      <c r="D1" s="2"/>
      <c r="E1" s="2"/>
      <c r="F1" s="2"/>
      <c r="G1" s="2"/>
      <c r="Q1" s="40">
        <f ca="1">NOW()</f>
        <v>46163.425109027776</v>
      </c>
      <c r="X1" s="4">
        <v>18</v>
      </c>
      <c r="Y1" s="4">
        <v>24</v>
      </c>
    </row>
    <row r="2" spans="1:25" ht="18" x14ac:dyDescent="0.25">
      <c r="A2" s="160" t="s">
        <v>80</v>
      </c>
      <c r="B2" s="2"/>
      <c r="C2" s="2"/>
      <c r="D2" s="94" t="s">
        <v>101</v>
      </c>
      <c r="E2" s="95"/>
      <c r="F2" s="2"/>
      <c r="G2" s="2"/>
      <c r="J2" s="3"/>
      <c r="K2" s="3"/>
      <c r="L2" s="3"/>
      <c r="M2" s="3"/>
      <c r="N2" s="3"/>
      <c r="T2" s="6"/>
      <c r="X2" s="4">
        <v>19</v>
      </c>
      <c r="Y2" s="4">
        <v>16</v>
      </c>
    </row>
    <row r="3" spans="1:25" ht="12.75" x14ac:dyDescent="0.2">
      <c r="A3" s="2"/>
      <c r="B3" s="2"/>
      <c r="C3" s="2"/>
      <c r="D3" s="2"/>
      <c r="E3" s="2"/>
      <c r="F3" s="2"/>
      <c r="G3" s="2"/>
      <c r="J3" s="3"/>
      <c r="K3" s="3"/>
      <c r="L3" s="3"/>
      <c r="M3" s="3"/>
      <c r="N3" s="3"/>
      <c r="X3" s="4">
        <v>20</v>
      </c>
      <c r="Y3" s="4">
        <v>8</v>
      </c>
    </row>
    <row r="4" spans="1:25" ht="12.75" x14ac:dyDescent="0.2">
      <c r="A4" s="7" t="s">
        <v>1</v>
      </c>
      <c r="B4" s="2"/>
      <c r="C4" s="2"/>
      <c r="D4" s="2"/>
      <c r="E4" s="7" t="s">
        <v>2</v>
      </c>
      <c r="F4" s="2"/>
      <c r="G4" s="2"/>
      <c r="J4" s="3"/>
      <c r="K4" s="3"/>
      <c r="L4" s="3"/>
      <c r="M4" s="3"/>
      <c r="N4" s="3"/>
      <c r="X4" s="4">
        <v>21</v>
      </c>
      <c r="Y4" s="4">
        <v>0</v>
      </c>
    </row>
    <row r="5" spans="1:25" ht="12.75" x14ac:dyDescent="0.2">
      <c r="A5" s="2" t="s">
        <v>3</v>
      </c>
      <c r="B5" s="96"/>
      <c r="C5" s="96"/>
      <c r="D5" s="96"/>
      <c r="E5" s="2" t="s">
        <v>4</v>
      </c>
      <c r="F5" s="96"/>
      <c r="G5" s="96"/>
      <c r="J5" s="3"/>
      <c r="K5" s="3"/>
      <c r="L5" s="3"/>
      <c r="M5" s="3"/>
      <c r="N5" s="3"/>
      <c r="X5" s="4">
        <v>22</v>
      </c>
      <c r="Y5" s="4">
        <v>0</v>
      </c>
    </row>
    <row r="6" spans="1:25" ht="12.75" x14ac:dyDescent="0.2">
      <c r="A6" s="2" t="s">
        <v>5</v>
      </c>
      <c r="B6" s="161"/>
      <c r="C6" s="161"/>
      <c r="D6" s="161"/>
      <c r="E6" s="2" t="s">
        <v>6</v>
      </c>
      <c r="F6" s="96"/>
      <c r="G6" s="96"/>
      <c r="J6" s="3"/>
      <c r="K6" s="3"/>
      <c r="L6" s="3"/>
      <c r="M6" s="3"/>
      <c r="N6" s="3"/>
      <c r="X6" s="4">
        <v>23</v>
      </c>
      <c r="Y6" s="4">
        <v>0</v>
      </c>
    </row>
    <row r="7" spans="1:25" ht="12.75" x14ac:dyDescent="0.2">
      <c r="A7" s="2" t="s">
        <v>7</v>
      </c>
      <c r="B7" s="97"/>
      <c r="C7" s="96"/>
      <c r="D7" s="96"/>
      <c r="E7" s="2"/>
      <c r="F7" s="2"/>
      <c r="G7" s="2"/>
      <c r="J7" s="3"/>
      <c r="K7" s="3"/>
      <c r="L7" s="3"/>
      <c r="M7" s="3"/>
      <c r="N7" s="3"/>
      <c r="X7" s="4">
        <v>24</v>
      </c>
      <c r="Y7" s="4">
        <v>0</v>
      </c>
    </row>
    <row r="8" spans="1:25" ht="12.75" x14ac:dyDescent="0.2">
      <c r="A8" s="2" t="s">
        <v>68</v>
      </c>
      <c r="B8" s="124"/>
      <c r="C8" s="124"/>
      <c r="D8" s="124"/>
      <c r="E8" s="124"/>
      <c r="F8" s="124"/>
      <c r="G8" s="124"/>
      <c r="H8" s="124"/>
      <c r="J8" s="3"/>
      <c r="K8" s="3"/>
      <c r="L8" s="3"/>
      <c r="M8" s="3"/>
      <c r="N8" s="3"/>
      <c r="X8" s="4">
        <v>25</v>
      </c>
      <c r="Y8" s="4">
        <v>0</v>
      </c>
    </row>
    <row r="9" spans="1:25" ht="12.75" x14ac:dyDescent="0.2">
      <c r="A9" s="168"/>
      <c r="B9" s="168"/>
      <c r="C9" s="168"/>
      <c r="D9" s="168"/>
      <c r="E9" s="168"/>
      <c r="F9" s="168"/>
      <c r="G9" s="168"/>
      <c r="H9" s="168"/>
      <c r="I9" s="169"/>
      <c r="J9" s="170" t="s">
        <v>9</v>
      </c>
      <c r="K9" s="169"/>
      <c r="L9" s="169"/>
      <c r="M9" s="169"/>
      <c r="N9" s="169"/>
      <c r="X9" s="4">
        <v>26</v>
      </c>
      <c r="Y9" s="4">
        <v>0</v>
      </c>
    </row>
    <row r="10" spans="1:25" ht="12.75" customHeight="1" x14ac:dyDescent="0.2">
      <c r="A10" s="2"/>
      <c r="B10" s="2"/>
      <c r="C10" s="2"/>
      <c r="D10" s="2"/>
      <c r="E10" s="2"/>
      <c r="F10" s="2"/>
      <c r="G10" s="2"/>
      <c r="J10" s="167" t="s">
        <v>81</v>
      </c>
      <c r="K10" s="167"/>
      <c r="L10" s="167"/>
      <c r="M10" s="167"/>
      <c r="N10" s="167"/>
      <c r="O10" s="13"/>
      <c r="P10" s="13"/>
      <c r="X10" s="4">
        <v>27</v>
      </c>
      <c r="Y10" s="4">
        <v>0</v>
      </c>
    </row>
    <row r="11" spans="1:25" ht="12.75" x14ac:dyDescent="0.2">
      <c r="A11" s="14"/>
      <c r="B11" s="98" t="s">
        <v>82</v>
      </c>
      <c r="C11" s="98"/>
      <c r="E11" s="98" t="s">
        <v>83</v>
      </c>
      <c r="F11" s="98"/>
      <c r="G11" s="98"/>
      <c r="J11" s="90"/>
      <c r="K11" s="90"/>
      <c r="L11" s="90"/>
      <c r="M11" s="90"/>
      <c r="N11" s="90"/>
      <c r="O11" s="13"/>
      <c r="P11" s="13"/>
      <c r="X11" s="4">
        <v>28</v>
      </c>
      <c r="Y11" s="4">
        <v>0</v>
      </c>
    </row>
    <row r="12" spans="1:25" ht="12.75" customHeight="1" x14ac:dyDescent="0.2">
      <c r="A12" s="18"/>
      <c r="B12" s="19" t="s">
        <v>12</v>
      </c>
      <c r="C12" s="19" t="s">
        <v>13</v>
      </c>
      <c r="D12" s="2"/>
      <c r="E12" s="19" t="s">
        <v>84</v>
      </c>
      <c r="F12" s="19" t="s">
        <v>85</v>
      </c>
      <c r="G12" s="19" t="s">
        <v>20</v>
      </c>
      <c r="H12" s="19"/>
      <c r="I12" s="23"/>
      <c r="J12" s="90"/>
      <c r="K12" s="90"/>
      <c r="L12" s="90"/>
      <c r="M12" s="90"/>
      <c r="N12" s="90"/>
      <c r="O12" s="13"/>
      <c r="P12" s="13"/>
      <c r="X12" s="4">
        <v>29</v>
      </c>
      <c r="Y12" s="4">
        <v>0</v>
      </c>
    </row>
    <row r="13" spans="1:25" ht="12.75" customHeight="1" x14ac:dyDescent="0.2">
      <c r="A13" s="2" t="s">
        <v>14</v>
      </c>
      <c r="B13" s="24"/>
      <c r="C13" s="25"/>
      <c r="D13" s="2"/>
      <c r="E13" s="24"/>
      <c r="F13" s="25"/>
      <c r="G13" s="149">
        <f>E13*F13</f>
        <v>0</v>
      </c>
      <c r="H13" s="26"/>
      <c r="I13" s="28"/>
      <c r="J13" s="90"/>
      <c r="K13" s="90"/>
      <c r="L13" s="90"/>
      <c r="M13" s="90"/>
      <c r="N13" s="90"/>
      <c r="O13" s="13"/>
      <c r="P13" s="13"/>
      <c r="X13" s="4">
        <v>30</v>
      </c>
      <c r="Y13" s="4">
        <v>8</v>
      </c>
    </row>
    <row r="14" spans="1:25" ht="12.75" x14ac:dyDescent="0.2">
      <c r="A14" s="2" t="s">
        <v>15</v>
      </c>
      <c r="B14" s="24"/>
      <c r="C14" s="25"/>
      <c r="D14" s="2"/>
      <c r="E14" s="24"/>
      <c r="F14" s="25"/>
      <c r="G14" s="149">
        <f t="shared" ref="G14:G17" si="0">E14*F14</f>
        <v>0</v>
      </c>
      <c r="H14" s="26"/>
      <c r="I14" s="28"/>
      <c r="J14" s="90"/>
      <c r="K14" s="90"/>
      <c r="L14" s="90"/>
      <c r="M14" s="90"/>
      <c r="N14" s="90"/>
      <c r="O14" s="13"/>
      <c r="P14" s="13"/>
      <c r="X14" s="4">
        <v>31</v>
      </c>
      <c r="Y14" s="4">
        <v>8</v>
      </c>
    </row>
    <row r="15" spans="1:25" ht="12.75" customHeight="1" x14ac:dyDescent="0.2">
      <c r="A15" s="2" t="s">
        <v>16</v>
      </c>
      <c r="B15" s="24"/>
      <c r="C15" s="25"/>
      <c r="D15" s="2"/>
      <c r="E15" s="24"/>
      <c r="F15" s="25"/>
      <c r="G15" s="149">
        <f t="shared" si="0"/>
        <v>0</v>
      </c>
      <c r="H15" s="26"/>
      <c r="I15" s="28"/>
      <c r="J15" s="90"/>
      <c r="K15" s="90"/>
      <c r="L15" s="90"/>
      <c r="M15" s="90"/>
      <c r="N15" s="90"/>
      <c r="O15" s="13"/>
      <c r="P15" s="13"/>
      <c r="X15" s="4">
        <v>32</v>
      </c>
      <c r="Y15" s="4">
        <v>8</v>
      </c>
    </row>
    <row r="16" spans="1:25" ht="12.75" customHeight="1" x14ac:dyDescent="0.2">
      <c r="A16" s="2" t="s">
        <v>18</v>
      </c>
      <c r="B16" s="24"/>
      <c r="C16" s="25">
        <v>8.5</v>
      </c>
      <c r="D16" s="2"/>
      <c r="E16" s="24"/>
      <c r="F16" s="25"/>
      <c r="G16" s="149">
        <f t="shared" si="0"/>
        <v>0</v>
      </c>
      <c r="H16" s="26"/>
      <c r="I16" s="28"/>
      <c r="J16" s="90" t="s">
        <v>86</v>
      </c>
      <c r="K16" s="90"/>
      <c r="L16" s="90"/>
      <c r="M16" s="90"/>
      <c r="N16" s="90"/>
      <c r="O16" s="13"/>
      <c r="P16" s="13"/>
      <c r="R16" s="162" t="s">
        <v>87</v>
      </c>
      <c r="S16" s="4">
        <f ca="1">YEAR(Q1)-YEAR(C26)</f>
        <v>126</v>
      </c>
      <c r="X16" s="4">
        <v>33</v>
      </c>
      <c r="Y16" s="4">
        <v>8</v>
      </c>
    </row>
    <row r="17" spans="1:25" ht="12.75" customHeight="1" x14ac:dyDescent="0.2">
      <c r="A17" s="2" t="s">
        <v>19</v>
      </c>
      <c r="B17" s="24"/>
      <c r="C17" s="25">
        <v>8.5</v>
      </c>
      <c r="D17" s="2"/>
      <c r="E17" s="24"/>
      <c r="F17" s="25"/>
      <c r="G17" s="149">
        <f t="shared" si="0"/>
        <v>0</v>
      </c>
      <c r="H17" s="26"/>
      <c r="I17" s="28"/>
      <c r="J17" s="90"/>
      <c r="K17" s="90"/>
      <c r="L17" s="90"/>
      <c r="M17" s="90"/>
      <c r="N17" s="90"/>
      <c r="O17" s="13"/>
      <c r="P17" s="13"/>
      <c r="X17" s="4">
        <v>34</v>
      </c>
      <c r="Y17" s="4">
        <v>8</v>
      </c>
    </row>
    <row r="18" spans="1:25" ht="12.75" x14ac:dyDescent="0.2">
      <c r="A18" s="8" t="s">
        <v>20</v>
      </c>
      <c r="B18" s="30">
        <f>SUM(B13:B17)</f>
        <v>0</v>
      </c>
      <c r="C18" s="30">
        <f>SUM(C13:C17)</f>
        <v>17</v>
      </c>
      <c r="D18" s="2"/>
      <c r="E18" s="30">
        <f>SUM(E13:E17)</f>
        <v>0</v>
      </c>
      <c r="F18" s="30">
        <f>SUM(F13:F17)</f>
        <v>0</v>
      </c>
      <c r="G18" s="30">
        <f>SUM(G13:G17)</f>
        <v>0</v>
      </c>
      <c r="H18" s="31"/>
      <c r="I18" s="32"/>
      <c r="J18" s="90"/>
      <c r="K18" s="90"/>
      <c r="L18" s="90"/>
      <c r="M18" s="90"/>
      <c r="N18" s="90"/>
      <c r="O18" s="13"/>
      <c r="P18" s="13"/>
      <c r="R18" s="35">
        <f ca="1">YEAR(NOW())-YEAR(C26)</f>
        <v>126</v>
      </c>
      <c r="S18" s="4">
        <f ca="1">YEAR(NOW())</f>
        <v>2026</v>
      </c>
      <c r="X18" s="4">
        <v>35</v>
      </c>
      <c r="Y18" s="4">
        <v>8</v>
      </c>
    </row>
    <row r="19" spans="1:25" ht="13.5" thickBot="1" x14ac:dyDescent="0.25">
      <c r="A19" s="8"/>
      <c r="B19" s="8"/>
      <c r="C19" s="8"/>
      <c r="D19" s="2"/>
      <c r="E19" s="2"/>
      <c r="F19" s="2"/>
      <c r="G19" s="8"/>
      <c r="H19" s="8"/>
      <c r="I19" s="37"/>
      <c r="J19" s="90"/>
      <c r="K19" s="90"/>
      <c r="L19" s="90"/>
      <c r="M19" s="90"/>
      <c r="N19" s="90"/>
      <c r="O19" s="13"/>
      <c r="R19" s="40">
        <v>21459</v>
      </c>
      <c r="S19" s="40">
        <f ca="1">DATE((S18-57),MONTH(C26),DAY(C26))</f>
        <v>25203</v>
      </c>
      <c r="X19" s="4">
        <v>36</v>
      </c>
      <c r="Y19" s="4">
        <v>8</v>
      </c>
    </row>
    <row r="20" spans="1:25" ht="13.5" customHeight="1" x14ac:dyDescent="0.2">
      <c r="A20" s="18"/>
      <c r="B20" s="91" t="s">
        <v>24</v>
      </c>
      <c r="C20" s="91"/>
      <c r="D20" s="144" t="str">
        <f>IFERROR(ROUND((C18+G18/41.475),0)&amp;" uur",0)</f>
        <v>17 uur</v>
      </c>
      <c r="E20" s="100" t="str">
        <f>IF(C28&gt;0,"Werktijdfactor exclusief verlof duurzame inzetbaarheid:",IF(G25&gt;0,"Werktijdfactor exclusief ouderschapsverlof:",""))</f>
        <v/>
      </c>
      <c r="F20" s="100"/>
      <c r="G20" s="99" t="str">
        <f>IF(C28&gt;0,FLOOR((LEFT(D20,2)/40-(G35/1659))*40,1)&amp;" uur"&amp;IF((ROUND(((LEFT(D20,2)/40-(G35/1659))*40-FLOOR((LEFT(D20,2)/40-(G35/1659))*40,1))*60,0))=0,""," en "&amp;ROUND(((LEFT(D20,2)/40-(G35/1659))*40-FLOOR((LEFT(D20,2)/40-(G35/1659))*40,1))*60,0)&amp;" minuten"),IF(G25&gt;0,FLOOR((LEFT(D20,2)/40-(G35/1659))*40,1)&amp;" uur"&amp;IF((ROUND(((LEFT(D20,2)/40-(G35/1659))*40-FLOOR((LEFT(D20,2)/40-(G35/1659))*40,1))*60,0))=0,""," en "&amp;ROUND(((LEFT(D20,2)/40-(G35/1659))*40-FLOOR((LEFT(D20,2)/40-(G35/1659))*40,1))*60,0)&amp;" minuten"),""))</f>
        <v/>
      </c>
      <c r="H20" s="8"/>
      <c r="I20" s="37"/>
      <c r="J20" s="90"/>
      <c r="K20" s="90"/>
      <c r="L20" s="90"/>
      <c r="M20" s="90"/>
      <c r="N20" s="90"/>
      <c r="O20" s="13"/>
      <c r="R20" s="40"/>
      <c r="S20" s="4" t="str">
        <f>IF(C26="","",IF(C26&lt;=R19,"Overgangsregeling 56+",IF(C26&lt;=S19,"Basis en bijzonder budget","")))</f>
        <v/>
      </c>
      <c r="X20" s="4">
        <v>37</v>
      </c>
      <c r="Y20" s="4">
        <v>8</v>
      </c>
    </row>
    <row r="21" spans="1:25" ht="12.75" customHeight="1" thickBot="1" x14ac:dyDescent="0.25">
      <c r="A21" s="2"/>
      <c r="B21" s="91"/>
      <c r="C21" s="91"/>
      <c r="D21" s="145"/>
      <c r="E21" s="100"/>
      <c r="F21" s="100"/>
      <c r="G21" s="99"/>
      <c r="H21" s="42"/>
      <c r="I21" s="43"/>
      <c r="J21" s="90"/>
      <c r="K21" s="90"/>
      <c r="L21" s="90"/>
      <c r="M21" s="90"/>
      <c r="N21" s="90"/>
      <c r="O21" s="13"/>
      <c r="P21" s="13"/>
      <c r="S21" s="4" t="str">
        <f>IF(C26="","",IF(C26&lt;=R19,"Basis en bijzonder budget",IF(C26&lt;=S19,"Enkel basis budget","")))</f>
        <v/>
      </c>
      <c r="X21" s="4">
        <v>38</v>
      </c>
      <c r="Y21" s="4">
        <v>8</v>
      </c>
    </row>
    <row r="22" spans="1:25" ht="12.75" x14ac:dyDescent="0.2">
      <c r="A22" s="171"/>
      <c r="B22" s="172" t="s">
        <v>26</v>
      </c>
      <c r="C22" s="173"/>
      <c r="D22" s="174">
        <f>IF(D20=0,"",LEFT(D20,2)/40)</f>
        <v>0.42499999999999999</v>
      </c>
      <c r="E22" s="171"/>
      <c r="F22" s="171"/>
      <c r="G22" s="171"/>
      <c r="H22" s="171"/>
      <c r="I22" s="175"/>
      <c r="J22" s="140"/>
      <c r="K22" s="140"/>
      <c r="L22" s="140"/>
      <c r="M22" s="140"/>
      <c r="N22" s="140"/>
      <c r="O22" s="13"/>
      <c r="P22" s="13"/>
      <c r="S22" s="4" t="str">
        <f>IF(C26="","",IF(C26&lt;=R19,"Enkel basis budget",""))</f>
        <v/>
      </c>
      <c r="X22" s="4">
        <v>39</v>
      </c>
      <c r="Y22" s="4">
        <v>8</v>
      </c>
    </row>
    <row r="23" spans="1:25" s="46" customFormat="1" ht="12.75" x14ac:dyDescent="0.2">
      <c r="A23" s="8" t="s">
        <v>27</v>
      </c>
      <c r="B23" s="8"/>
      <c r="C23" s="8"/>
      <c r="D23" s="2"/>
      <c r="E23" s="8"/>
      <c r="F23" s="8"/>
      <c r="G23" s="8"/>
      <c r="H23" s="8"/>
      <c r="I23" s="37"/>
      <c r="J23" s="8"/>
      <c r="K23" s="8"/>
      <c r="L23" s="8"/>
      <c r="M23" s="8"/>
      <c r="N23" s="8"/>
      <c r="O23" s="45"/>
      <c r="P23" s="45"/>
      <c r="X23" s="4">
        <v>40</v>
      </c>
      <c r="Y23" s="46">
        <v>16</v>
      </c>
    </row>
    <row r="24" spans="1:25" ht="12.75" customHeight="1" x14ac:dyDescent="0.2">
      <c r="A24" s="4" t="s">
        <v>88</v>
      </c>
      <c r="B24" s="8"/>
      <c r="C24" s="163"/>
      <c r="D24" s="48" t="s">
        <v>102</v>
      </c>
      <c r="E24" s="164"/>
      <c r="F24" s="8"/>
      <c r="G24" s="8"/>
      <c r="H24" s="8"/>
      <c r="I24" s="37"/>
      <c r="J24" s="115" t="s">
        <v>89</v>
      </c>
      <c r="K24" s="115"/>
      <c r="L24" s="115"/>
      <c r="M24" s="115"/>
      <c r="N24" s="115"/>
      <c r="R24" s="4">
        <f>ROUND(LEFT(D20,2)/40*40,0)</f>
        <v>17</v>
      </c>
      <c r="X24" s="4">
        <v>41</v>
      </c>
      <c r="Y24" s="4">
        <v>16</v>
      </c>
    </row>
    <row r="25" spans="1:25" ht="12.75" x14ac:dyDescent="0.2">
      <c r="A25" s="2" t="s">
        <v>31</v>
      </c>
      <c r="B25" s="8"/>
      <c r="C25" s="110"/>
      <c r="D25" s="111"/>
      <c r="E25" s="165" t="str">
        <f>IF(C25="Ja","Werktijdfactor verlof","")</f>
        <v/>
      </c>
      <c r="G25" s="47"/>
      <c r="I25" s="37"/>
      <c r="J25" s="115"/>
      <c r="K25" s="115"/>
      <c r="L25" s="115"/>
      <c r="M25" s="115"/>
      <c r="N25" s="115"/>
      <c r="O25" s="49"/>
      <c r="Q25" s="2"/>
      <c r="X25" s="4">
        <v>42</v>
      </c>
      <c r="Y25" s="4">
        <v>16</v>
      </c>
    </row>
    <row r="26" spans="1:25" ht="12.75" x14ac:dyDescent="0.2">
      <c r="A26" s="2" t="s">
        <v>32</v>
      </c>
      <c r="B26" s="8"/>
      <c r="C26" s="146"/>
      <c r="D26" s="147"/>
      <c r="E26" s="113" t="str">
        <f>IF(G25&gt;0,"Verdeling uren ouderschapsverlof","")</f>
        <v/>
      </c>
      <c r="F26" s="113"/>
      <c r="G26" s="113"/>
      <c r="H26" s="8"/>
      <c r="I26" s="37"/>
      <c r="J26" s="115" t="s">
        <v>95</v>
      </c>
      <c r="K26" s="115"/>
      <c r="L26" s="115"/>
      <c r="M26" s="115"/>
      <c r="N26" s="115"/>
      <c r="O26" s="8"/>
      <c r="P26" s="8"/>
      <c r="Q26" s="4">
        <f>2014-1958</f>
        <v>56</v>
      </c>
      <c r="R26" s="4" t="s">
        <v>33</v>
      </c>
      <c r="W26" s="8"/>
      <c r="X26" s="4">
        <v>43</v>
      </c>
      <c r="Y26" s="4">
        <v>16</v>
      </c>
    </row>
    <row r="27" spans="1:25" ht="12.75" x14ac:dyDescent="0.2">
      <c r="A27" s="2" t="str">
        <f>IF(C26="","",IF($C$26&lt;$R$19,"Recht duurzame inzetbaarheid",IF($C$26&lt;=$S$19,"Recht duurzame inzetbaarheid","")))</f>
        <v/>
      </c>
      <c r="B27" s="8"/>
      <c r="C27" s="114"/>
      <c r="D27" s="114"/>
      <c r="E27" s="19" t="str">
        <f>IF(G25&gt;0,"Profess.","")</f>
        <v/>
      </c>
      <c r="F27" s="19" t="str">
        <f>IF(G25&gt;0,"Duurz. inz.","")</f>
        <v/>
      </c>
      <c r="G27" s="19" t="str">
        <f>IF(G25&gt;0,"Taakuren","")</f>
        <v/>
      </c>
      <c r="H27" s="54"/>
      <c r="I27" s="52"/>
      <c r="J27" s="115"/>
      <c r="K27" s="115"/>
      <c r="L27" s="115"/>
      <c r="M27" s="115"/>
      <c r="N27" s="115"/>
      <c r="O27" s="8"/>
      <c r="P27" s="8"/>
      <c r="R27" s="4" t="s">
        <v>34</v>
      </c>
      <c r="T27" s="53">
        <f>G25*1659</f>
        <v>0</v>
      </c>
      <c r="U27" s="53"/>
      <c r="X27" s="4">
        <v>44</v>
      </c>
      <c r="Y27" s="4">
        <v>16</v>
      </c>
    </row>
    <row r="28" spans="1:25" ht="12.75" x14ac:dyDescent="0.2">
      <c r="A28" s="168" t="str">
        <f>IF(C27="","",IF(C27="Overgangsregeling 52+","Aantal uur verlof",IF(C27="Overgangsregeling 56+","Aantal uur verlof",IF(C27="Basis en bijzonder budget","Aantal uur verlof",""))))</f>
        <v/>
      </c>
      <c r="B28" s="171"/>
      <c r="C28" s="204"/>
      <c r="D28" s="205" t="str">
        <f>IF(C27="Overgangsregeling 56+","Tussen "&amp;ROUND(170*LEFT(D20,2)/40,0)&amp;" en "&amp;ROUND(340*LEFT(D20,2)/40,0),IF(C27="Overgangsregeling 52+","Tussen 0 en "&amp;ROUND(170*LEFT(D20,2)/40,0),IF(C27="Basis en bijzonder budget","Tussen 0 en "&amp;ROUND(170*LEFT(D20,2)/40,0),"")))</f>
        <v/>
      </c>
      <c r="E28" s="206" t="str">
        <f>IF(G25&gt;0,ROUND(T29*T27,0),"")</f>
        <v/>
      </c>
      <c r="F28" s="206" t="str">
        <f>IF(G25&gt;0,ROUND(T30*T27,0),"")</f>
        <v/>
      </c>
      <c r="G28" s="206" t="str">
        <f>IF(G25&gt;0,ROUND(T31*T27,0),"")</f>
        <v/>
      </c>
      <c r="H28" s="205"/>
      <c r="I28" s="191"/>
      <c r="J28" s="207"/>
      <c r="K28" s="207"/>
      <c r="L28" s="207"/>
      <c r="M28" s="207"/>
      <c r="N28" s="207"/>
      <c r="O28" s="8"/>
      <c r="P28" s="8"/>
      <c r="R28" s="55"/>
      <c r="S28" s="53"/>
      <c r="T28" s="56">
        <f>R28/SUM($S$32:$S$36)</f>
        <v>0</v>
      </c>
      <c r="U28" s="53">
        <f>T28*$T$27</f>
        <v>0</v>
      </c>
      <c r="X28" s="4">
        <v>45</v>
      </c>
      <c r="Y28" s="4">
        <v>24</v>
      </c>
    </row>
    <row r="29" spans="1:25" ht="12.75" x14ac:dyDescent="0.2">
      <c r="A29" s="8"/>
      <c r="B29" s="8"/>
      <c r="C29" s="8"/>
      <c r="D29" s="2"/>
      <c r="E29" s="8"/>
      <c r="F29" s="8"/>
      <c r="G29" s="14"/>
      <c r="H29" s="14"/>
      <c r="I29" s="61"/>
      <c r="J29" s="37"/>
      <c r="K29" s="37"/>
      <c r="L29" s="37"/>
      <c r="M29" s="37"/>
      <c r="N29" s="61"/>
      <c r="R29" s="55">
        <f>ROUND(LEFT(D20,2)/40*2*41.475,0)</f>
        <v>35</v>
      </c>
      <c r="S29" s="53"/>
      <c r="T29" s="56">
        <f>R29/SUM($R$29:$R$31)</f>
        <v>4.9645390070921988E-2</v>
      </c>
      <c r="U29" s="53">
        <f>IFERROR(T29*$T$27,0)</f>
        <v>0</v>
      </c>
      <c r="X29" s="4">
        <v>46</v>
      </c>
      <c r="Y29" s="4">
        <v>24</v>
      </c>
    </row>
    <row r="30" spans="1:25" ht="12.75" x14ac:dyDescent="0.2">
      <c r="A30" s="14" t="s">
        <v>41</v>
      </c>
      <c r="B30" s="8"/>
      <c r="C30" s="8"/>
      <c r="D30" s="2"/>
      <c r="E30" s="8"/>
      <c r="F30" s="8"/>
      <c r="G30" s="14"/>
      <c r="H30" s="14"/>
      <c r="I30" s="61"/>
      <c r="J30" s="3"/>
      <c r="K30" s="3"/>
      <c r="L30" s="3"/>
      <c r="M30" s="3"/>
      <c r="N30" s="3"/>
      <c r="R30" s="55">
        <f>ROUND(IF(A27="",ROUND(LEFT(D20,2)/40*40,0),ROUND(VLOOKUP(C27,$R$32:$S$36,2,FALSE)*LEFT(D20,2)/40,0))-C28,0)</f>
        <v>17</v>
      </c>
      <c r="S30" s="53"/>
      <c r="T30" s="56">
        <f t="shared" ref="T30" si="1">R30/SUM($R$29:$R$31)</f>
        <v>2.4113475177304965E-2</v>
      </c>
      <c r="U30" s="53">
        <f t="shared" ref="U30" si="2">IFERROR(T30*$T$27,0)</f>
        <v>0</v>
      </c>
      <c r="X30" s="4">
        <v>47</v>
      </c>
      <c r="Y30" s="4">
        <v>24</v>
      </c>
    </row>
    <row r="31" spans="1:25" ht="12.75" x14ac:dyDescent="0.2">
      <c r="A31" s="14"/>
      <c r="B31" s="8"/>
      <c r="C31" s="8"/>
      <c r="D31" s="2"/>
      <c r="E31" s="8"/>
      <c r="F31" s="14"/>
      <c r="G31" s="14"/>
      <c r="H31" s="14"/>
      <c r="I31" s="61"/>
      <c r="J31" s="3"/>
      <c r="K31" s="3"/>
      <c r="L31" s="3"/>
      <c r="M31" s="3"/>
      <c r="N31" s="3"/>
      <c r="R31" s="53">
        <f>IFERROR(ROUND(R41,0),0)</f>
        <v>653</v>
      </c>
      <c r="S31" s="53"/>
      <c r="T31" s="56">
        <f>R31/SUM($R$29:$R$31)</f>
        <v>0.92624113475177305</v>
      </c>
      <c r="U31" s="53">
        <f>IFERROR(T31*$T$27,0)</f>
        <v>0</v>
      </c>
      <c r="X31" s="4">
        <v>48</v>
      </c>
      <c r="Y31" s="4">
        <v>24</v>
      </c>
    </row>
    <row r="32" spans="1:25" ht="12.75" x14ac:dyDescent="0.2">
      <c r="A32" s="14" t="s">
        <v>90</v>
      </c>
      <c r="C32" s="8"/>
      <c r="D32" s="72"/>
      <c r="E32" s="63" t="s">
        <v>91</v>
      </c>
      <c r="F32" s="8"/>
      <c r="G32" s="14"/>
      <c r="H32" s="14"/>
      <c r="I32" s="61"/>
      <c r="J32" s="3"/>
      <c r="K32" s="3"/>
      <c r="L32" s="3"/>
      <c r="M32" s="3"/>
      <c r="N32" s="3"/>
      <c r="R32" s="4" t="s">
        <v>44</v>
      </c>
      <c r="S32" s="4">
        <f>'wtf OP, obv dagdelen onderbouw'!T52</f>
        <v>253</v>
      </c>
      <c r="U32" s="53"/>
      <c r="X32" s="4">
        <v>49</v>
      </c>
      <c r="Y32" s="4">
        <v>24</v>
      </c>
    </row>
    <row r="33" spans="1:25" ht="13.15" customHeight="1" x14ac:dyDescent="0.2">
      <c r="A33" s="51" t="s">
        <v>54</v>
      </c>
      <c r="B33" s="2"/>
      <c r="C33" s="75"/>
      <c r="D33" s="2"/>
      <c r="E33" s="107" t="s">
        <v>94</v>
      </c>
      <c r="F33" s="107"/>
      <c r="G33" s="108">
        <f>ROUND(IF(AND(A28="",G25=""),ROUND(LEFT(D20,2)/40*123,0),IF(G25&gt;0,ROUND(LEFT(D20,2)/40*123,0)-F28,ROUND(VLOOKUP(C27,$R$32:$S$36,2,FALSE)*LEFT(D20,2)/40,0))-C28),0)</f>
        <v>52</v>
      </c>
      <c r="H33" s="62"/>
      <c r="I33" s="66"/>
      <c r="J33" s="3"/>
      <c r="K33" s="3"/>
      <c r="L33" s="3"/>
      <c r="M33" s="3"/>
      <c r="N33" s="3"/>
      <c r="R33" s="4" t="s">
        <v>46</v>
      </c>
      <c r="S33" s="4">
        <f>'wtf OP, obv dagdelen onderbouw'!T53</f>
        <v>463</v>
      </c>
      <c r="X33" s="4">
        <v>50</v>
      </c>
      <c r="Y33" s="4">
        <v>32</v>
      </c>
    </row>
    <row r="34" spans="1:25" ht="12.75" x14ac:dyDescent="0.2">
      <c r="A34" s="77" t="s">
        <v>55</v>
      </c>
      <c r="B34" s="2"/>
      <c r="C34" s="75"/>
      <c r="D34" s="72"/>
      <c r="E34" s="107"/>
      <c r="F34" s="107"/>
      <c r="G34" s="108"/>
      <c r="H34" s="62"/>
      <c r="I34" s="66"/>
      <c r="J34" s="67"/>
      <c r="K34" s="67"/>
      <c r="L34" s="67"/>
      <c r="M34" s="67"/>
      <c r="N34" s="67"/>
      <c r="O34" s="68"/>
      <c r="P34" s="68"/>
      <c r="R34" s="4" t="s">
        <v>48</v>
      </c>
      <c r="S34" s="4">
        <f>'wtf OP, obv dagdelen onderbouw'!T54</f>
        <v>253</v>
      </c>
      <c r="X34" s="4">
        <v>51</v>
      </c>
      <c r="Y34" s="4">
        <v>32</v>
      </c>
    </row>
    <row r="35" spans="1:25" ht="12.75" x14ac:dyDescent="0.2">
      <c r="A35" s="77" t="s">
        <v>56</v>
      </c>
      <c r="B35" s="2"/>
      <c r="C35" s="75"/>
      <c r="D35" s="72"/>
      <c r="E35" s="2" t="str">
        <f>IF(C28&gt;0,"Verlof duurzame inzetbaarheid",IF(G25&gt;0,"Ouderschapsverlof",""))</f>
        <v/>
      </c>
      <c r="F35" s="2"/>
      <c r="G35" s="62" t="str">
        <f>IF(E35="","",IF(C28&gt;0,C28,IF(G25&gt;0,T27,"")))</f>
        <v/>
      </c>
      <c r="I35" s="70"/>
      <c r="J35" s="67"/>
      <c r="K35" s="67"/>
      <c r="L35" s="67"/>
      <c r="M35" s="67"/>
      <c r="N35" s="67"/>
      <c r="O35" s="68"/>
      <c r="P35" s="68"/>
      <c r="X35" s="4">
        <v>52</v>
      </c>
      <c r="Y35" s="4">
        <v>32</v>
      </c>
    </row>
    <row r="36" spans="1:25" ht="13.5" thickBot="1" x14ac:dyDescent="0.25">
      <c r="A36" s="77" t="s">
        <v>57</v>
      </c>
      <c r="B36" s="2"/>
      <c r="C36" s="75"/>
      <c r="D36" s="78"/>
      <c r="E36" s="4" t="str">
        <f>IF(D24="Nee","Bijzonder verlof OOP","")</f>
        <v/>
      </c>
      <c r="F36" s="2"/>
      <c r="G36" s="4" t="str">
        <f>IF(E36="","",ROUND(VLOOKUP(S16,$X$1:$Y$76,2,FALSE)*D22,0))</f>
        <v/>
      </c>
      <c r="H36" s="74"/>
      <c r="J36" s="3"/>
      <c r="K36" s="3"/>
      <c r="L36" s="3"/>
      <c r="M36" s="3"/>
      <c r="N36" s="3"/>
      <c r="R36" s="4" t="s">
        <v>51</v>
      </c>
      <c r="S36" s="4">
        <f>'wtf OP, obv dagdelen onderbouw'!T56</f>
        <v>123</v>
      </c>
      <c r="X36" s="4">
        <v>53</v>
      </c>
      <c r="Y36" s="4">
        <v>32</v>
      </c>
    </row>
    <row r="37" spans="1:25" ht="13.5" thickBot="1" x14ac:dyDescent="0.25">
      <c r="A37" s="77" t="s">
        <v>58</v>
      </c>
      <c r="B37" s="2"/>
      <c r="C37" s="75"/>
      <c r="D37" s="72"/>
      <c r="E37" s="8" t="s">
        <v>20</v>
      </c>
      <c r="F37" s="14"/>
      <c r="G37" s="73">
        <f>SUM(G33:G36)</f>
        <v>52</v>
      </c>
      <c r="J37" s="3"/>
      <c r="K37" s="3"/>
      <c r="L37" s="3"/>
      <c r="M37" s="3"/>
      <c r="N37" s="3"/>
      <c r="X37" s="4">
        <v>54</v>
      </c>
      <c r="Y37" s="4">
        <v>32</v>
      </c>
    </row>
    <row r="38" spans="1:25" ht="12.75" x14ac:dyDescent="0.2">
      <c r="A38" s="77" t="s">
        <v>58</v>
      </c>
      <c r="B38" s="2"/>
      <c r="C38" s="75"/>
      <c r="D38" s="72"/>
      <c r="E38" s="102" t="str">
        <f>IF(C76&lt;0,"LET OP:","")</f>
        <v/>
      </c>
      <c r="F38" s="102"/>
      <c r="G38" s="102"/>
      <c r="J38" s="103" t="s">
        <v>92</v>
      </c>
      <c r="K38" s="103"/>
      <c r="L38" s="103"/>
      <c r="M38" s="103"/>
      <c r="N38" s="103"/>
      <c r="X38" s="4">
        <v>55</v>
      </c>
      <c r="Y38" s="4">
        <v>40</v>
      </c>
    </row>
    <row r="39" spans="1:25" ht="12.75" x14ac:dyDescent="0.2">
      <c r="A39" s="77" t="s">
        <v>58</v>
      </c>
      <c r="B39" s="2"/>
      <c r="C39" s="75"/>
      <c r="D39" s="72"/>
      <c r="E39" s="102"/>
      <c r="F39" s="102"/>
      <c r="G39" s="102"/>
      <c r="J39" s="103"/>
      <c r="K39" s="103"/>
      <c r="L39" s="103"/>
      <c r="M39" s="103"/>
      <c r="N39" s="103"/>
      <c r="R39" s="76"/>
      <c r="X39" s="4">
        <v>56</v>
      </c>
      <c r="Y39" s="4">
        <v>40</v>
      </c>
    </row>
    <row r="40" spans="1:25" ht="12.75" customHeight="1" x14ac:dyDescent="0.2">
      <c r="A40" s="77" t="s">
        <v>58</v>
      </c>
      <c r="B40" s="2"/>
      <c r="C40" s="75"/>
      <c r="D40" s="153" t="str">
        <f>IF(C76&lt;0,"De werktijdfactor is te laag om deze taken te kunnen vervullen. Vul extra variabele dagen in.","")</f>
        <v/>
      </c>
      <c r="E40" s="104"/>
      <c r="F40" s="104"/>
      <c r="G40" s="104"/>
      <c r="J40" s="103"/>
      <c r="K40" s="103"/>
      <c r="L40" s="103"/>
      <c r="M40" s="103"/>
      <c r="N40" s="103"/>
      <c r="S40" s="76">
        <f>R39+R40</f>
        <v>0</v>
      </c>
      <c r="X40" s="4">
        <v>57</v>
      </c>
      <c r="Y40" s="4">
        <v>40</v>
      </c>
    </row>
    <row r="41" spans="1:25" ht="12.75" customHeight="1" x14ac:dyDescent="0.2">
      <c r="A41" s="77" t="s">
        <v>58</v>
      </c>
      <c r="B41" s="2"/>
      <c r="C41" s="75"/>
      <c r="D41" s="153"/>
      <c r="E41" s="104"/>
      <c r="F41" s="104"/>
      <c r="G41" s="104"/>
      <c r="J41" s="103"/>
      <c r="K41" s="103"/>
      <c r="L41" s="103"/>
      <c r="M41" s="103"/>
      <c r="N41" s="103"/>
      <c r="R41" s="4">
        <f>ROUND(1659*(LEFT(D20,2)/40)-ROUND(IF(A27="",ROUND(LEFT(D20,2)/40*40,0),ROUND(VLOOKUP(C27,$R$32:$S$36,2,FALSE)*LEFT(D20,2)/40,0))-C28,0)-ROUND(LEFT(D20,2)/40*2*41.475,0)-ROUND(IF(E36="",0,G36),0),0)</f>
        <v>653</v>
      </c>
      <c r="X41" s="4">
        <v>58</v>
      </c>
      <c r="Y41" s="4">
        <v>40</v>
      </c>
    </row>
    <row r="42" spans="1:25" ht="12.75" customHeight="1" x14ac:dyDescent="0.2">
      <c r="A42" s="77" t="s">
        <v>58</v>
      </c>
      <c r="B42" s="2"/>
      <c r="C42" s="75"/>
      <c r="D42" s="105" t="s">
        <v>97</v>
      </c>
      <c r="E42" s="106"/>
      <c r="F42" s="106"/>
      <c r="G42" s="106"/>
      <c r="H42" s="79"/>
      <c r="I42" s="80"/>
      <c r="J42" s="103"/>
      <c r="K42" s="103"/>
      <c r="L42" s="103"/>
      <c r="M42" s="103"/>
      <c r="N42" s="103"/>
      <c r="R42" s="76">
        <f>1659/40*LEFT(D20,2)</f>
        <v>705.07500000000005</v>
      </c>
      <c r="T42" s="76" t="e">
        <f>R41-G35-SUM(C33:C75)-U31</f>
        <v>#VALUE!</v>
      </c>
      <c r="X42" s="4">
        <v>59</v>
      </c>
      <c r="Y42" s="4">
        <v>40</v>
      </c>
    </row>
    <row r="43" spans="1:25" ht="12.75" x14ac:dyDescent="0.2">
      <c r="A43" s="77" t="s">
        <v>58</v>
      </c>
      <c r="B43" s="2"/>
      <c r="C43" s="75"/>
      <c r="D43" s="81" t="s">
        <v>56</v>
      </c>
      <c r="E43" s="118"/>
      <c r="F43" s="118"/>
      <c r="G43" s="118"/>
      <c r="H43" s="79"/>
      <c r="I43" s="80"/>
      <c r="J43" s="3"/>
      <c r="K43" s="3"/>
      <c r="L43" s="3"/>
      <c r="M43" s="3"/>
      <c r="N43" s="3"/>
      <c r="X43" s="4">
        <v>60</v>
      </c>
      <c r="Y43" s="4">
        <v>48</v>
      </c>
    </row>
    <row r="44" spans="1:25" ht="12.75" x14ac:dyDescent="0.2">
      <c r="A44" s="77" t="s">
        <v>58</v>
      </c>
      <c r="B44" s="2"/>
      <c r="C44" s="75"/>
      <c r="D44" s="81" t="s">
        <v>60</v>
      </c>
      <c r="E44" s="116"/>
      <c r="F44" s="116"/>
      <c r="G44" s="116"/>
      <c r="H44" s="79"/>
      <c r="I44" s="80"/>
      <c r="J44" s="3"/>
      <c r="K44" s="3"/>
      <c r="L44" s="3"/>
      <c r="M44" s="3"/>
      <c r="N44" s="3"/>
      <c r="X44" s="4">
        <v>61</v>
      </c>
      <c r="Y44" s="4">
        <v>48</v>
      </c>
    </row>
    <row r="45" spans="1:25" ht="12.75" x14ac:dyDescent="0.2">
      <c r="A45" s="77" t="s">
        <v>58</v>
      </c>
      <c r="B45" s="2"/>
      <c r="C45" s="75"/>
      <c r="D45" s="81" t="s">
        <v>59</v>
      </c>
      <c r="E45" s="116"/>
      <c r="F45" s="116"/>
      <c r="G45" s="116"/>
      <c r="H45" s="79"/>
      <c r="I45" s="80"/>
      <c r="J45" s="3"/>
      <c r="K45" s="3"/>
      <c r="L45" s="3"/>
      <c r="M45" s="3"/>
      <c r="N45" s="3"/>
      <c r="X45" s="4">
        <v>62</v>
      </c>
      <c r="Y45" s="4">
        <v>48</v>
      </c>
    </row>
    <row r="46" spans="1:25" ht="12.75" x14ac:dyDescent="0.2">
      <c r="A46" s="77" t="s">
        <v>58</v>
      </c>
      <c r="B46" s="2"/>
      <c r="C46" s="75"/>
      <c r="D46" s="82" t="s">
        <v>61</v>
      </c>
      <c r="E46" s="116"/>
      <c r="F46" s="116"/>
      <c r="G46" s="116"/>
      <c r="H46" s="83"/>
      <c r="I46" s="84"/>
      <c r="J46" s="3"/>
      <c r="K46" s="3"/>
      <c r="L46" s="3"/>
      <c r="M46" s="3"/>
      <c r="N46" s="3"/>
      <c r="X46" s="4">
        <v>63</v>
      </c>
      <c r="Y46" s="4">
        <v>48</v>
      </c>
    </row>
    <row r="47" spans="1:25" ht="12.75" x14ac:dyDescent="0.2">
      <c r="A47" s="77" t="s">
        <v>58</v>
      </c>
      <c r="B47" s="2"/>
      <c r="C47" s="75"/>
      <c r="D47" s="82" t="s">
        <v>62</v>
      </c>
      <c r="E47" s="116"/>
      <c r="F47" s="116"/>
      <c r="G47" s="116"/>
      <c r="H47" s="83"/>
      <c r="I47" s="84"/>
      <c r="J47" s="3"/>
      <c r="K47" s="3"/>
      <c r="L47" s="3"/>
      <c r="M47" s="3"/>
      <c r="N47" s="3"/>
      <c r="X47" s="4">
        <v>64</v>
      </c>
      <c r="Y47" s="4">
        <v>48</v>
      </c>
    </row>
    <row r="48" spans="1:25" ht="12.75" x14ac:dyDescent="0.2">
      <c r="A48" s="77" t="s">
        <v>58</v>
      </c>
      <c r="B48" s="2"/>
      <c r="C48" s="75"/>
      <c r="D48" s="82" t="s">
        <v>58</v>
      </c>
      <c r="E48" s="116"/>
      <c r="F48" s="116"/>
      <c r="G48" s="116"/>
      <c r="H48" s="83"/>
      <c r="I48" s="84"/>
      <c r="J48" s="3"/>
      <c r="K48" s="3"/>
      <c r="L48" s="3"/>
      <c r="M48" s="3"/>
      <c r="N48" s="3"/>
      <c r="X48" s="4">
        <v>65</v>
      </c>
      <c r="Y48" s="4">
        <v>48</v>
      </c>
    </row>
    <row r="49" spans="1:25" ht="12.75" hidden="1" x14ac:dyDescent="0.2">
      <c r="A49" s="77" t="s">
        <v>58</v>
      </c>
      <c r="B49" s="2"/>
      <c r="C49" s="75"/>
      <c r="D49" s="82" t="s">
        <v>58</v>
      </c>
      <c r="E49" s="116"/>
      <c r="F49" s="116"/>
      <c r="G49" s="116"/>
      <c r="H49" s="83"/>
      <c r="I49" s="84"/>
      <c r="J49" s="3"/>
      <c r="K49" s="3"/>
      <c r="L49" s="3"/>
      <c r="M49" s="3"/>
      <c r="N49" s="3"/>
      <c r="X49" s="4">
        <v>66</v>
      </c>
      <c r="Y49" s="4">
        <v>48</v>
      </c>
    </row>
    <row r="50" spans="1:25" ht="12.75" hidden="1" x14ac:dyDescent="0.2">
      <c r="A50" s="77" t="s">
        <v>58</v>
      </c>
      <c r="B50" s="2"/>
      <c r="C50" s="75"/>
      <c r="D50" s="82" t="s">
        <v>58</v>
      </c>
      <c r="E50" s="116"/>
      <c r="F50" s="116"/>
      <c r="G50" s="116"/>
      <c r="H50" s="83"/>
      <c r="I50" s="84"/>
      <c r="J50" s="3"/>
      <c r="K50" s="3"/>
      <c r="L50" s="3"/>
      <c r="M50" s="3"/>
      <c r="N50" s="3"/>
      <c r="X50" s="4">
        <v>67</v>
      </c>
      <c r="Y50" s="4">
        <v>48</v>
      </c>
    </row>
    <row r="51" spans="1:25" ht="12.75" hidden="1" x14ac:dyDescent="0.2">
      <c r="A51" s="77" t="s">
        <v>58</v>
      </c>
      <c r="B51" s="2"/>
      <c r="C51" s="75"/>
      <c r="D51" s="82" t="s">
        <v>58</v>
      </c>
      <c r="E51" s="116"/>
      <c r="F51" s="116"/>
      <c r="G51" s="116"/>
      <c r="H51" s="83"/>
      <c r="I51" s="84"/>
      <c r="J51" s="3"/>
      <c r="K51" s="3"/>
      <c r="L51" s="3"/>
      <c r="M51" s="3"/>
      <c r="N51" s="3"/>
      <c r="X51" s="4">
        <v>68</v>
      </c>
      <c r="Y51" s="4">
        <v>48</v>
      </c>
    </row>
    <row r="52" spans="1:25" ht="12.75" hidden="1" x14ac:dyDescent="0.2">
      <c r="A52" s="77" t="s">
        <v>58</v>
      </c>
      <c r="B52" s="2"/>
      <c r="C52" s="75"/>
      <c r="D52" s="82" t="s">
        <v>58</v>
      </c>
      <c r="E52" s="116"/>
      <c r="F52" s="116"/>
      <c r="G52" s="116"/>
      <c r="H52" s="83"/>
      <c r="I52" s="84"/>
      <c r="J52" s="3"/>
      <c r="K52" s="3"/>
      <c r="L52" s="3"/>
      <c r="M52" s="3"/>
      <c r="N52" s="3"/>
      <c r="X52" s="4">
        <v>69</v>
      </c>
      <c r="Y52" s="4">
        <v>48</v>
      </c>
    </row>
    <row r="53" spans="1:25" ht="12.75" hidden="1" x14ac:dyDescent="0.2">
      <c r="A53" s="77" t="s">
        <v>58</v>
      </c>
      <c r="B53" s="2"/>
      <c r="C53" s="75"/>
      <c r="D53" s="82" t="s">
        <v>58</v>
      </c>
      <c r="E53" s="116"/>
      <c r="F53" s="116"/>
      <c r="G53" s="116"/>
      <c r="H53" s="83"/>
      <c r="I53" s="84"/>
      <c r="J53" s="3"/>
      <c r="K53" s="3"/>
      <c r="L53" s="3"/>
      <c r="M53" s="3"/>
      <c r="N53" s="3"/>
      <c r="X53" s="4">
        <v>70</v>
      </c>
      <c r="Y53" s="4">
        <v>48</v>
      </c>
    </row>
    <row r="54" spans="1:25" ht="12.75" hidden="1" x14ac:dyDescent="0.2">
      <c r="A54" s="77" t="s">
        <v>58</v>
      </c>
      <c r="B54" s="2"/>
      <c r="C54" s="75"/>
      <c r="D54" s="82" t="s">
        <v>58</v>
      </c>
      <c r="E54" s="116"/>
      <c r="F54" s="116"/>
      <c r="G54" s="116"/>
      <c r="H54" s="83"/>
      <c r="I54" s="84"/>
      <c r="J54" s="3"/>
      <c r="K54" s="3"/>
      <c r="L54" s="3"/>
      <c r="M54" s="3"/>
      <c r="N54" s="3"/>
      <c r="X54" s="4">
        <v>71</v>
      </c>
      <c r="Y54" s="4">
        <v>48</v>
      </c>
    </row>
    <row r="55" spans="1:25" ht="12.75" hidden="1" x14ac:dyDescent="0.2">
      <c r="A55" s="77" t="s">
        <v>58</v>
      </c>
      <c r="B55" s="2"/>
      <c r="C55" s="75"/>
      <c r="D55" s="82" t="s">
        <v>58</v>
      </c>
      <c r="E55" s="116"/>
      <c r="F55" s="116"/>
      <c r="G55" s="116"/>
      <c r="H55" s="83"/>
      <c r="I55" s="84"/>
      <c r="J55" s="3"/>
      <c r="K55" s="3"/>
      <c r="L55" s="3"/>
      <c r="M55" s="3"/>
      <c r="N55" s="3"/>
      <c r="X55" s="4">
        <v>72</v>
      </c>
      <c r="Y55" s="4">
        <v>48</v>
      </c>
    </row>
    <row r="56" spans="1:25" s="2" customFormat="1" ht="12.75" hidden="1" x14ac:dyDescent="0.2">
      <c r="A56" s="77" t="s">
        <v>58</v>
      </c>
      <c r="C56" s="75"/>
      <c r="D56" s="82" t="s">
        <v>58</v>
      </c>
      <c r="E56" s="116"/>
      <c r="F56" s="116"/>
      <c r="G56" s="116"/>
      <c r="H56" s="83"/>
      <c r="I56" s="84"/>
      <c r="J56" s="3"/>
      <c r="K56" s="3"/>
      <c r="L56" s="3"/>
      <c r="M56" s="3"/>
      <c r="N56" s="3"/>
      <c r="Q56" s="4"/>
      <c r="R56" s="4"/>
      <c r="S56" s="4"/>
      <c r="T56" s="4"/>
      <c r="U56" s="4"/>
      <c r="V56" s="4"/>
      <c r="X56" s="4">
        <v>73</v>
      </c>
      <c r="Y56" s="4">
        <v>48</v>
      </c>
    </row>
    <row r="57" spans="1:25" s="2" customFormat="1" ht="12.75" hidden="1" x14ac:dyDescent="0.2">
      <c r="A57" s="77" t="s">
        <v>58</v>
      </c>
      <c r="C57" s="75"/>
      <c r="D57" s="82" t="s">
        <v>58</v>
      </c>
      <c r="E57" s="116"/>
      <c r="F57" s="116"/>
      <c r="G57" s="116"/>
      <c r="H57" s="83"/>
      <c r="I57" s="84"/>
      <c r="J57" s="3"/>
      <c r="K57" s="3"/>
      <c r="L57" s="3"/>
      <c r="M57" s="3"/>
      <c r="N57" s="3"/>
      <c r="Q57" s="4"/>
      <c r="R57" s="4"/>
      <c r="S57" s="4"/>
      <c r="T57" s="4"/>
      <c r="U57" s="4"/>
      <c r="V57" s="4"/>
      <c r="X57" s="4">
        <v>74</v>
      </c>
      <c r="Y57" s="4">
        <v>48</v>
      </c>
    </row>
    <row r="58" spans="1:25" s="2" customFormat="1" ht="12.75" hidden="1" x14ac:dyDescent="0.2">
      <c r="A58" s="77" t="s">
        <v>58</v>
      </c>
      <c r="C58" s="75"/>
      <c r="D58" s="82" t="s">
        <v>58</v>
      </c>
      <c r="E58" s="116"/>
      <c r="F58" s="116"/>
      <c r="G58" s="116"/>
      <c r="H58" s="83"/>
      <c r="I58" s="84"/>
      <c r="J58" s="3"/>
      <c r="K58" s="3"/>
      <c r="L58" s="3"/>
      <c r="M58" s="3"/>
      <c r="N58" s="3"/>
      <c r="Q58" s="4"/>
      <c r="R58" s="4"/>
      <c r="S58" s="4"/>
      <c r="T58" s="4"/>
      <c r="U58" s="4"/>
      <c r="V58" s="4"/>
      <c r="X58" s="4">
        <v>75</v>
      </c>
      <c r="Y58" s="4">
        <v>48</v>
      </c>
    </row>
    <row r="59" spans="1:25" s="2" customFormat="1" ht="12.75" hidden="1" x14ac:dyDescent="0.2">
      <c r="A59" s="77" t="s">
        <v>58</v>
      </c>
      <c r="C59" s="75"/>
      <c r="D59" s="82" t="s">
        <v>58</v>
      </c>
      <c r="E59" s="116"/>
      <c r="F59" s="116"/>
      <c r="G59" s="116"/>
      <c r="H59" s="83"/>
      <c r="I59" s="84"/>
      <c r="J59" s="3"/>
      <c r="K59" s="3"/>
      <c r="L59" s="3"/>
      <c r="M59" s="3"/>
      <c r="N59" s="3"/>
      <c r="Q59" s="4"/>
      <c r="R59" s="4"/>
      <c r="S59" s="4"/>
      <c r="T59" s="4"/>
      <c r="U59" s="4"/>
      <c r="V59" s="4"/>
      <c r="X59" s="4">
        <v>76</v>
      </c>
      <c r="Y59" s="4">
        <v>48</v>
      </c>
    </row>
    <row r="60" spans="1:25" s="2" customFormat="1" ht="12.75" hidden="1" x14ac:dyDescent="0.2">
      <c r="A60" s="77" t="s">
        <v>58</v>
      </c>
      <c r="C60" s="75"/>
      <c r="D60" s="82" t="s">
        <v>58</v>
      </c>
      <c r="E60" s="116"/>
      <c r="F60" s="116"/>
      <c r="G60" s="116"/>
      <c r="H60" s="83"/>
      <c r="I60" s="84"/>
      <c r="J60" s="3"/>
      <c r="K60" s="3"/>
      <c r="L60" s="3"/>
      <c r="M60" s="3"/>
      <c r="N60" s="3"/>
      <c r="Q60" s="4"/>
      <c r="R60" s="4"/>
      <c r="S60" s="4"/>
      <c r="T60" s="4"/>
      <c r="U60" s="4"/>
      <c r="V60" s="4"/>
      <c r="X60" s="4">
        <v>77</v>
      </c>
      <c r="Y60" s="4">
        <v>48</v>
      </c>
    </row>
    <row r="61" spans="1:25" s="2" customFormat="1" ht="12.75" hidden="1" x14ac:dyDescent="0.2">
      <c r="A61" s="77" t="s">
        <v>58</v>
      </c>
      <c r="C61" s="75"/>
      <c r="D61" s="82" t="s">
        <v>58</v>
      </c>
      <c r="E61" s="116"/>
      <c r="F61" s="116"/>
      <c r="G61" s="116"/>
      <c r="H61" s="83"/>
      <c r="I61" s="84"/>
      <c r="J61" s="3"/>
      <c r="K61" s="3"/>
      <c r="L61" s="3"/>
      <c r="M61" s="3"/>
      <c r="N61" s="3"/>
      <c r="Q61" s="4"/>
      <c r="R61" s="4"/>
      <c r="S61" s="4"/>
      <c r="T61" s="4"/>
      <c r="U61" s="4"/>
      <c r="V61" s="4"/>
      <c r="X61" s="4">
        <v>78</v>
      </c>
      <c r="Y61" s="4">
        <v>48</v>
      </c>
    </row>
    <row r="62" spans="1:25" s="2" customFormat="1" ht="12.75" hidden="1" x14ac:dyDescent="0.2">
      <c r="A62" s="77" t="s">
        <v>58</v>
      </c>
      <c r="C62" s="75"/>
      <c r="D62" s="82" t="s">
        <v>58</v>
      </c>
      <c r="E62" s="116"/>
      <c r="F62" s="116"/>
      <c r="G62" s="116"/>
      <c r="H62" s="83"/>
      <c r="I62" s="84"/>
      <c r="J62" s="3"/>
      <c r="K62" s="3"/>
      <c r="L62" s="3"/>
      <c r="M62" s="3"/>
      <c r="N62" s="3"/>
      <c r="Q62" s="4"/>
      <c r="R62" s="4"/>
      <c r="S62" s="4"/>
      <c r="T62" s="4"/>
      <c r="U62" s="4"/>
      <c r="V62" s="4"/>
      <c r="X62" s="4">
        <v>79</v>
      </c>
      <c r="Y62" s="4">
        <v>48</v>
      </c>
    </row>
    <row r="63" spans="1:25" s="2" customFormat="1" ht="12.75" hidden="1" x14ac:dyDescent="0.2">
      <c r="A63" s="77" t="s">
        <v>58</v>
      </c>
      <c r="C63" s="75"/>
      <c r="D63" s="82" t="s">
        <v>58</v>
      </c>
      <c r="E63" s="116"/>
      <c r="F63" s="116"/>
      <c r="G63" s="116"/>
      <c r="H63" s="83"/>
      <c r="I63" s="84"/>
      <c r="J63" s="3"/>
      <c r="K63" s="3"/>
      <c r="L63" s="3"/>
      <c r="M63" s="3"/>
      <c r="N63" s="3"/>
      <c r="Q63" s="4"/>
      <c r="R63" s="4"/>
      <c r="S63" s="4"/>
      <c r="T63" s="4"/>
      <c r="U63" s="4"/>
      <c r="V63" s="4"/>
      <c r="X63" s="4">
        <v>80</v>
      </c>
      <c r="Y63" s="4">
        <v>48</v>
      </c>
    </row>
    <row r="64" spans="1:25" s="2" customFormat="1" ht="12.75" hidden="1" x14ac:dyDescent="0.2">
      <c r="A64" s="77" t="s">
        <v>58</v>
      </c>
      <c r="C64" s="75"/>
      <c r="D64" s="82" t="s">
        <v>58</v>
      </c>
      <c r="E64" s="116"/>
      <c r="F64" s="116"/>
      <c r="G64" s="116"/>
      <c r="H64" s="83"/>
      <c r="I64" s="84"/>
      <c r="J64" s="3"/>
      <c r="K64" s="3"/>
      <c r="L64" s="3"/>
      <c r="M64" s="3"/>
      <c r="N64" s="3"/>
      <c r="Q64" s="4"/>
      <c r="R64" s="4"/>
      <c r="S64" s="4"/>
      <c r="T64" s="4"/>
      <c r="U64" s="4"/>
      <c r="V64" s="4"/>
      <c r="X64" s="4">
        <v>81</v>
      </c>
      <c r="Y64" s="4">
        <v>48</v>
      </c>
    </row>
    <row r="65" spans="1:25" s="2" customFormat="1" ht="12.75" hidden="1" x14ac:dyDescent="0.2">
      <c r="A65" s="77" t="s">
        <v>58</v>
      </c>
      <c r="C65" s="75"/>
      <c r="D65" s="82" t="s">
        <v>58</v>
      </c>
      <c r="E65" s="116"/>
      <c r="F65" s="116"/>
      <c r="G65" s="116"/>
      <c r="H65" s="83"/>
      <c r="I65" s="84"/>
      <c r="J65" s="3"/>
      <c r="K65" s="3"/>
      <c r="L65" s="3"/>
      <c r="M65" s="3"/>
      <c r="N65" s="3"/>
      <c r="Q65" s="4"/>
      <c r="R65" s="4"/>
      <c r="S65" s="4"/>
      <c r="T65" s="4"/>
      <c r="U65" s="4"/>
      <c r="V65" s="4"/>
      <c r="X65" s="4">
        <v>82</v>
      </c>
      <c r="Y65" s="4">
        <v>48</v>
      </c>
    </row>
    <row r="66" spans="1:25" s="2" customFormat="1" ht="12.75" hidden="1" x14ac:dyDescent="0.2">
      <c r="A66" s="77" t="s">
        <v>58</v>
      </c>
      <c r="C66" s="75"/>
      <c r="D66" s="82" t="s">
        <v>58</v>
      </c>
      <c r="E66" s="116"/>
      <c r="F66" s="116"/>
      <c r="G66" s="116"/>
      <c r="H66" s="83"/>
      <c r="I66" s="84"/>
      <c r="J66" s="3"/>
      <c r="K66" s="3"/>
      <c r="L66" s="3"/>
      <c r="M66" s="3"/>
      <c r="N66" s="3"/>
      <c r="Q66" s="4"/>
      <c r="R66" s="4"/>
      <c r="S66" s="4"/>
      <c r="T66" s="4"/>
      <c r="U66" s="4"/>
      <c r="V66" s="4"/>
      <c r="X66" s="4">
        <v>83</v>
      </c>
      <c r="Y66" s="4">
        <v>48</v>
      </c>
    </row>
    <row r="67" spans="1:25" s="2" customFormat="1" ht="12.75" hidden="1" x14ac:dyDescent="0.2">
      <c r="A67" s="77" t="s">
        <v>58</v>
      </c>
      <c r="C67" s="75"/>
      <c r="D67" s="82" t="s">
        <v>58</v>
      </c>
      <c r="E67" s="116"/>
      <c r="F67" s="116"/>
      <c r="G67" s="116"/>
      <c r="H67" s="83"/>
      <c r="I67" s="84"/>
      <c r="J67" s="3"/>
      <c r="K67" s="3"/>
      <c r="L67" s="3"/>
      <c r="M67" s="3"/>
      <c r="N67" s="3"/>
      <c r="Q67" s="4"/>
      <c r="R67" s="4"/>
      <c r="S67" s="4"/>
      <c r="T67" s="4"/>
      <c r="U67" s="4"/>
      <c r="V67" s="4"/>
      <c r="X67" s="4">
        <v>84</v>
      </c>
      <c r="Y67" s="4">
        <v>48</v>
      </c>
    </row>
    <row r="68" spans="1:25" s="2" customFormat="1" ht="12.75" hidden="1" x14ac:dyDescent="0.2">
      <c r="A68" s="77" t="s">
        <v>58</v>
      </c>
      <c r="C68" s="75"/>
      <c r="D68" s="82" t="s">
        <v>58</v>
      </c>
      <c r="E68" s="116"/>
      <c r="F68" s="116"/>
      <c r="G68" s="116"/>
      <c r="H68" s="83"/>
      <c r="I68" s="84"/>
      <c r="J68" s="3"/>
      <c r="K68" s="3"/>
      <c r="L68" s="3"/>
      <c r="M68" s="3"/>
      <c r="N68" s="3"/>
      <c r="Q68" s="4"/>
      <c r="R68" s="4"/>
      <c r="S68" s="4"/>
      <c r="T68" s="4"/>
      <c r="U68" s="4"/>
      <c r="V68" s="4"/>
      <c r="X68" s="4">
        <v>85</v>
      </c>
      <c r="Y68" s="4">
        <v>48</v>
      </c>
    </row>
    <row r="69" spans="1:25" s="2" customFormat="1" ht="12.75" hidden="1" x14ac:dyDescent="0.2">
      <c r="A69" s="77" t="s">
        <v>58</v>
      </c>
      <c r="C69" s="75"/>
      <c r="D69" s="82" t="s">
        <v>58</v>
      </c>
      <c r="E69" s="116"/>
      <c r="F69" s="116"/>
      <c r="G69" s="116"/>
      <c r="H69" s="83"/>
      <c r="I69" s="84"/>
      <c r="J69" s="3"/>
      <c r="K69" s="3"/>
      <c r="L69" s="3"/>
      <c r="M69" s="3"/>
      <c r="N69" s="3"/>
      <c r="Q69" s="4"/>
      <c r="R69" s="4"/>
      <c r="S69" s="4"/>
      <c r="T69" s="4"/>
      <c r="U69" s="4"/>
      <c r="V69" s="4"/>
      <c r="X69" s="4">
        <v>86</v>
      </c>
      <c r="Y69" s="4">
        <v>48</v>
      </c>
    </row>
    <row r="70" spans="1:25" s="2" customFormat="1" ht="12.75" hidden="1" x14ac:dyDescent="0.2">
      <c r="A70" s="77" t="s">
        <v>58</v>
      </c>
      <c r="C70" s="75"/>
      <c r="D70" s="82" t="s">
        <v>58</v>
      </c>
      <c r="E70" s="116"/>
      <c r="F70" s="116"/>
      <c r="G70" s="116"/>
      <c r="H70" s="83"/>
      <c r="I70" s="84"/>
      <c r="J70" s="3"/>
      <c r="K70" s="3"/>
      <c r="L70" s="3"/>
      <c r="M70" s="3"/>
      <c r="N70" s="3"/>
      <c r="Q70" s="4"/>
      <c r="R70" s="4"/>
      <c r="S70" s="4"/>
      <c r="T70" s="4"/>
      <c r="U70" s="4"/>
      <c r="V70" s="4"/>
      <c r="X70" s="4">
        <v>87</v>
      </c>
      <c r="Y70" s="4">
        <v>48</v>
      </c>
    </row>
    <row r="71" spans="1:25" s="2" customFormat="1" ht="12.75" hidden="1" x14ac:dyDescent="0.2">
      <c r="A71" s="77" t="s">
        <v>58</v>
      </c>
      <c r="C71" s="75"/>
      <c r="D71" s="82" t="s">
        <v>58</v>
      </c>
      <c r="E71" s="116"/>
      <c r="F71" s="116"/>
      <c r="G71" s="116"/>
      <c r="H71" s="83"/>
      <c r="I71" s="84"/>
      <c r="J71" s="3"/>
      <c r="K71" s="3"/>
      <c r="L71" s="3"/>
      <c r="M71" s="3"/>
      <c r="N71" s="3"/>
      <c r="Q71" s="4"/>
      <c r="R71" s="4"/>
      <c r="S71" s="4"/>
      <c r="T71" s="4"/>
      <c r="U71" s="4"/>
      <c r="V71" s="4"/>
      <c r="X71" s="4">
        <v>88</v>
      </c>
      <c r="Y71" s="4">
        <v>48</v>
      </c>
    </row>
    <row r="72" spans="1:25" s="2" customFormat="1" ht="12.75" x14ac:dyDescent="0.2">
      <c r="A72" s="77" t="s">
        <v>58</v>
      </c>
      <c r="C72" s="75"/>
      <c r="D72" s="82" t="s">
        <v>58</v>
      </c>
      <c r="E72" s="116"/>
      <c r="F72" s="116"/>
      <c r="G72" s="116"/>
      <c r="H72" s="83"/>
      <c r="I72" s="84"/>
      <c r="J72" s="3"/>
      <c r="K72" s="3"/>
      <c r="L72" s="3"/>
      <c r="M72" s="3"/>
      <c r="N72" s="3"/>
      <c r="Q72" s="4"/>
      <c r="R72" s="4"/>
      <c r="S72" s="4"/>
      <c r="T72" s="4"/>
      <c r="U72" s="4"/>
      <c r="V72" s="4"/>
      <c r="X72" s="4">
        <v>89</v>
      </c>
      <c r="Y72" s="4">
        <v>48</v>
      </c>
    </row>
    <row r="73" spans="1:25" s="2" customFormat="1" ht="12.75" x14ac:dyDescent="0.2">
      <c r="A73" s="77" t="s">
        <v>58</v>
      </c>
      <c r="C73" s="75"/>
      <c r="D73" s="82" t="s">
        <v>58</v>
      </c>
      <c r="E73" s="116"/>
      <c r="F73" s="116"/>
      <c r="G73" s="116"/>
      <c r="H73" s="83"/>
      <c r="I73" s="84"/>
      <c r="J73" s="3"/>
      <c r="K73" s="3"/>
      <c r="L73" s="3"/>
      <c r="M73" s="3"/>
      <c r="N73" s="3"/>
      <c r="Q73" s="4"/>
      <c r="R73" s="4"/>
      <c r="S73" s="4"/>
      <c r="T73" s="4"/>
      <c r="U73" s="4"/>
      <c r="V73" s="4"/>
      <c r="X73" s="4">
        <v>90</v>
      </c>
      <c r="Y73" s="4">
        <v>48</v>
      </c>
    </row>
    <row r="74" spans="1:25" s="2" customFormat="1" ht="13.5" thickBot="1" x14ac:dyDescent="0.25">
      <c r="A74" s="51" t="s">
        <v>58</v>
      </c>
      <c r="C74" s="75"/>
      <c r="D74" s="88" t="s">
        <v>65</v>
      </c>
      <c r="E74" s="166">
        <f>G33-SUM(E43:G73)</f>
        <v>52</v>
      </c>
      <c r="F74" s="166"/>
      <c r="G74" s="166"/>
      <c r="H74" s="83"/>
      <c r="I74" s="84"/>
      <c r="J74" s="3"/>
      <c r="K74" s="3"/>
      <c r="L74" s="3"/>
      <c r="M74" s="3"/>
      <c r="N74" s="3"/>
      <c r="Q74" s="4"/>
      <c r="R74" s="4"/>
      <c r="S74" s="4"/>
      <c r="T74" s="4"/>
      <c r="U74" s="4"/>
      <c r="V74" s="4"/>
      <c r="X74" s="4">
        <v>91</v>
      </c>
      <c r="Y74" s="4">
        <v>48</v>
      </c>
    </row>
    <row r="75" spans="1:25" s="2" customFormat="1" ht="13.5" thickBot="1" x14ac:dyDescent="0.25">
      <c r="A75" s="51" t="s">
        <v>63</v>
      </c>
      <c r="C75" s="75"/>
      <c r="D75" s="78" t="s">
        <v>20</v>
      </c>
      <c r="E75" s="119">
        <f>SUM(E43:G74)</f>
        <v>52</v>
      </c>
      <c r="F75" s="120"/>
      <c r="G75" s="121"/>
      <c r="H75" s="83"/>
      <c r="I75" s="84"/>
      <c r="J75" s="3"/>
      <c r="K75" s="3"/>
      <c r="L75" s="3"/>
      <c r="M75" s="3"/>
      <c r="N75" s="3"/>
      <c r="Q75" s="4"/>
      <c r="R75" s="4"/>
      <c r="S75" s="4"/>
      <c r="T75" s="4"/>
      <c r="U75" s="4"/>
      <c r="V75" s="4"/>
      <c r="X75" s="4">
        <v>92</v>
      </c>
      <c r="Y75" s="4">
        <v>48</v>
      </c>
    </row>
    <row r="76" spans="1:25" s="2" customFormat="1" ht="13.5" thickBot="1" x14ac:dyDescent="0.25">
      <c r="A76" s="86" t="s">
        <v>64</v>
      </c>
      <c r="C76" s="87">
        <f>IFERROR(ROUND(IF(C28&gt;0,R41-G35-SUM(C33:C75)-U31,R41-SUM(C33:C75)-U31),0),0)</f>
        <v>653</v>
      </c>
      <c r="E76" s="83"/>
      <c r="F76" s="83"/>
      <c r="G76" s="83"/>
      <c r="H76" s="83"/>
      <c r="I76" s="84"/>
      <c r="J76" s="3"/>
      <c r="K76" s="3"/>
      <c r="L76" s="3"/>
      <c r="M76" s="3"/>
      <c r="N76" s="3"/>
      <c r="Q76" s="4"/>
      <c r="R76" s="4"/>
      <c r="S76" s="4"/>
      <c r="T76" s="4"/>
      <c r="U76" s="4"/>
      <c r="V76" s="4"/>
      <c r="X76" s="4">
        <v>93</v>
      </c>
      <c r="Y76" s="4">
        <v>48</v>
      </c>
    </row>
    <row r="77" spans="1:25" s="2" customFormat="1" ht="13.5" thickBot="1" x14ac:dyDescent="0.25">
      <c r="A77" s="8" t="s">
        <v>66</v>
      </c>
      <c r="C77" s="89">
        <f>SUM(C33:C76)</f>
        <v>653</v>
      </c>
      <c r="E77" s="83"/>
      <c r="F77" s="83"/>
      <c r="G77" s="83"/>
      <c r="H77" s="83"/>
      <c r="I77" s="84"/>
      <c r="J77" s="3"/>
      <c r="K77" s="3"/>
      <c r="L77" s="3"/>
      <c r="M77" s="3"/>
      <c r="N77" s="3"/>
      <c r="Q77" s="4"/>
      <c r="R77" s="4"/>
      <c r="S77" s="4"/>
      <c r="T77" s="4"/>
      <c r="U77" s="4"/>
      <c r="V77" s="4"/>
    </row>
    <row r="78" spans="1:25" s="2" customFormat="1" ht="12.75" x14ac:dyDescent="0.2">
      <c r="E78" s="83"/>
      <c r="F78" s="83"/>
      <c r="G78" s="83"/>
      <c r="H78" s="83"/>
      <c r="I78" s="84"/>
      <c r="J78" s="3"/>
      <c r="K78" s="3"/>
      <c r="L78" s="3"/>
      <c r="M78" s="3"/>
      <c r="N78" s="3"/>
      <c r="Q78" s="4"/>
      <c r="R78" s="4"/>
      <c r="S78" s="4"/>
      <c r="T78" s="4"/>
      <c r="U78" s="4"/>
      <c r="V78" s="4"/>
    </row>
    <row r="79" spans="1:25" s="2" customFormat="1" ht="12.75" hidden="1" customHeight="1" x14ac:dyDescent="0.2">
      <c r="A79" s="4"/>
      <c r="B79" s="4"/>
      <c r="C79" s="4"/>
      <c r="D79" s="4"/>
      <c r="E79" s="4"/>
      <c r="F79" s="4"/>
      <c r="G79" s="4"/>
      <c r="I79" s="3"/>
      <c r="J79" s="3"/>
      <c r="K79" s="3"/>
      <c r="L79" s="3"/>
      <c r="M79" s="3"/>
      <c r="N79" s="3"/>
      <c r="Q79" s="4"/>
      <c r="R79" s="4"/>
      <c r="S79" s="4"/>
      <c r="T79" s="4"/>
      <c r="U79" s="4"/>
      <c r="V79" s="4"/>
    </row>
    <row r="80" spans="1:25" s="2" customFormat="1" ht="13.5" hidden="1" customHeight="1" thickBot="1" x14ac:dyDescent="0.25">
      <c r="A80" s="4"/>
      <c r="B80" s="4"/>
      <c r="C80" s="4"/>
      <c r="D80" s="4"/>
      <c r="E80" s="4"/>
      <c r="F80" s="4"/>
      <c r="G80" s="4"/>
      <c r="I80" s="3"/>
      <c r="J80" s="3"/>
      <c r="K80" s="3"/>
      <c r="L80" s="3"/>
      <c r="M80" s="3"/>
      <c r="N80" s="3"/>
      <c r="Q80" s="4"/>
      <c r="R80" s="4"/>
      <c r="S80" s="4"/>
      <c r="T80" s="4"/>
      <c r="U80" s="4"/>
      <c r="V80" s="4"/>
    </row>
    <row r="81" spans="1:22" s="2" customFormat="1" ht="12.75" hidden="1" x14ac:dyDescent="0.2">
      <c r="A81" s="4"/>
      <c r="B81" s="4"/>
      <c r="C81" s="4"/>
      <c r="D81" s="4"/>
      <c r="E81" s="4"/>
      <c r="F81" s="4"/>
      <c r="G81" s="4"/>
      <c r="I81" s="3"/>
      <c r="J81" s="3"/>
      <c r="K81" s="3"/>
      <c r="L81" s="3"/>
      <c r="M81" s="3"/>
      <c r="N81" s="3"/>
      <c r="Q81" s="4"/>
      <c r="R81" s="4"/>
      <c r="S81" s="4"/>
      <c r="T81" s="4"/>
      <c r="U81" s="4"/>
      <c r="V81" s="4"/>
    </row>
    <row r="82" spans="1:22" s="2" customFormat="1" ht="12.75" hidden="1" x14ac:dyDescent="0.2">
      <c r="A82" s="4"/>
      <c r="B82" s="4"/>
      <c r="C82" s="4"/>
      <c r="D82" s="4"/>
      <c r="E82" s="4"/>
      <c r="F82" s="4"/>
      <c r="G82" s="4"/>
      <c r="I82" s="3"/>
      <c r="J82" s="3"/>
      <c r="K82" s="3"/>
      <c r="L82" s="3"/>
      <c r="M82" s="3"/>
      <c r="N82" s="3"/>
      <c r="Q82" s="4"/>
      <c r="R82" s="4"/>
      <c r="S82" s="4"/>
      <c r="T82" s="4"/>
      <c r="U82" s="4"/>
      <c r="V82" s="4"/>
    </row>
    <row r="83" spans="1:22" s="2" customFormat="1" ht="12.75" hidden="1" x14ac:dyDescent="0.2">
      <c r="A83" s="4"/>
      <c r="B83" s="4"/>
      <c r="C83" s="4"/>
      <c r="D83" s="4"/>
      <c r="E83" s="4"/>
      <c r="F83" s="4"/>
      <c r="G83" s="4"/>
      <c r="I83" s="3"/>
      <c r="J83" s="3"/>
      <c r="K83" s="3"/>
      <c r="L83" s="3"/>
      <c r="M83" s="3"/>
      <c r="N83" s="3"/>
      <c r="Q83" s="4"/>
      <c r="R83" s="4"/>
      <c r="S83" s="4"/>
      <c r="T83" s="4"/>
      <c r="U83" s="4"/>
      <c r="V83" s="4"/>
    </row>
    <row r="84" spans="1:22" s="2" customFormat="1" ht="12.75" hidden="1" x14ac:dyDescent="0.2">
      <c r="A84" s="4"/>
      <c r="B84" s="4"/>
      <c r="C84" s="4"/>
      <c r="D84" s="4"/>
      <c r="E84" s="4"/>
      <c r="F84" s="4"/>
      <c r="G84" s="4"/>
      <c r="I84" s="3"/>
      <c r="J84" s="3"/>
      <c r="K84" s="3"/>
      <c r="L84" s="3"/>
      <c r="M84" s="3"/>
      <c r="N84" s="3"/>
      <c r="Q84" s="4"/>
      <c r="R84" s="4"/>
      <c r="S84" s="4"/>
      <c r="T84" s="4"/>
      <c r="U84" s="4"/>
      <c r="V84" s="4"/>
    </row>
    <row r="85" spans="1:22" s="2" customFormat="1" ht="12.75" hidden="1" x14ac:dyDescent="0.2">
      <c r="A85" s="4"/>
      <c r="B85" s="4"/>
      <c r="C85" s="4"/>
      <c r="D85" s="4"/>
      <c r="E85" s="4"/>
      <c r="F85" s="4"/>
      <c r="G85" s="4"/>
      <c r="I85" s="3"/>
      <c r="J85" s="3"/>
      <c r="K85" s="3"/>
      <c r="L85" s="3"/>
      <c r="M85" s="3"/>
      <c r="N85" s="3"/>
      <c r="Q85" s="4"/>
      <c r="R85" s="4"/>
      <c r="S85" s="4"/>
      <c r="T85" s="4"/>
      <c r="U85" s="4"/>
      <c r="V85" s="4"/>
    </row>
    <row r="86" spans="1:22" s="2" customFormat="1" ht="12.75" hidden="1" customHeight="1" x14ac:dyDescent="0.2">
      <c r="A86" s="4"/>
      <c r="B86" s="4"/>
      <c r="C86" s="4"/>
      <c r="D86" s="4"/>
      <c r="E86" s="4"/>
      <c r="F86" s="4"/>
      <c r="G86" s="4"/>
      <c r="I86" s="3"/>
      <c r="J86" s="3"/>
      <c r="K86" s="3"/>
      <c r="L86" s="3"/>
      <c r="M86" s="3"/>
      <c r="N86" s="3"/>
      <c r="Q86" s="4"/>
      <c r="R86" s="4"/>
      <c r="S86" s="4"/>
      <c r="T86" s="4"/>
      <c r="U86" s="4"/>
      <c r="V86" s="4"/>
    </row>
    <row r="87" spans="1:22" s="2" customFormat="1" ht="12.75" hidden="1" customHeight="1" x14ac:dyDescent="0.2">
      <c r="A87" s="4"/>
      <c r="B87" s="4"/>
      <c r="C87" s="4"/>
      <c r="D87" s="4"/>
      <c r="E87" s="4"/>
      <c r="F87" s="4"/>
      <c r="G87" s="4"/>
      <c r="I87" s="3"/>
      <c r="J87" s="3"/>
      <c r="K87" s="3"/>
      <c r="L87" s="3"/>
      <c r="M87" s="3"/>
      <c r="N87" s="3"/>
      <c r="Q87" s="4"/>
      <c r="R87" s="4"/>
      <c r="S87" s="4"/>
      <c r="T87" s="4"/>
      <c r="U87" s="4"/>
      <c r="V87" s="4"/>
    </row>
    <row r="88" spans="1:22" s="2" customFormat="1" ht="12.75" hidden="1" customHeight="1" x14ac:dyDescent="0.2">
      <c r="A88" s="4"/>
      <c r="B88" s="4"/>
      <c r="C88" s="4"/>
      <c r="D88" s="4"/>
      <c r="E88" s="4"/>
      <c r="F88" s="4"/>
      <c r="G88" s="4"/>
      <c r="I88" s="3"/>
      <c r="J88" s="3"/>
      <c r="K88" s="3"/>
      <c r="L88" s="3"/>
      <c r="M88" s="3"/>
      <c r="N88" s="3"/>
      <c r="Q88" s="4"/>
      <c r="R88" s="4"/>
      <c r="S88" s="4"/>
      <c r="T88" s="4"/>
      <c r="U88" s="4"/>
      <c r="V88" s="4"/>
    </row>
  </sheetData>
  <mergeCells count="60">
    <mergeCell ref="E73:G73"/>
    <mergeCell ref="E74:G74"/>
    <mergeCell ref="E75:G75"/>
    <mergeCell ref="E68:G68"/>
    <mergeCell ref="E69:G69"/>
    <mergeCell ref="E70:G70"/>
    <mergeCell ref="E71:G71"/>
    <mergeCell ref="E72:G72"/>
    <mergeCell ref="E63:G63"/>
    <mergeCell ref="E64:G64"/>
    <mergeCell ref="E65:G65"/>
    <mergeCell ref="E66:G66"/>
    <mergeCell ref="E67:G67"/>
    <mergeCell ref="E58:G58"/>
    <mergeCell ref="E59:G59"/>
    <mergeCell ref="E60:G60"/>
    <mergeCell ref="E61:G61"/>
    <mergeCell ref="E62:G62"/>
    <mergeCell ref="E53:G53"/>
    <mergeCell ref="E54:G54"/>
    <mergeCell ref="E55:G55"/>
    <mergeCell ref="E56:G56"/>
    <mergeCell ref="E57:G57"/>
    <mergeCell ref="E48:G48"/>
    <mergeCell ref="E49:G49"/>
    <mergeCell ref="E50:G50"/>
    <mergeCell ref="E51:G51"/>
    <mergeCell ref="E52:G52"/>
    <mergeCell ref="E43:G43"/>
    <mergeCell ref="E44:G44"/>
    <mergeCell ref="E45:G45"/>
    <mergeCell ref="E46:G46"/>
    <mergeCell ref="E47:G47"/>
    <mergeCell ref="B8:H8"/>
    <mergeCell ref="B7:D7"/>
    <mergeCell ref="D2:E2"/>
    <mergeCell ref="B5:D5"/>
    <mergeCell ref="F5:G5"/>
    <mergeCell ref="B6:D6"/>
    <mergeCell ref="F6:G6"/>
    <mergeCell ref="B11:C11"/>
    <mergeCell ref="B20:C21"/>
    <mergeCell ref="D20:D21"/>
    <mergeCell ref="E11:G11"/>
    <mergeCell ref="J16:N21"/>
    <mergeCell ref="J10:N15"/>
    <mergeCell ref="E20:F21"/>
    <mergeCell ref="G20:G21"/>
    <mergeCell ref="J26:N27"/>
    <mergeCell ref="J24:N25"/>
    <mergeCell ref="J38:N42"/>
    <mergeCell ref="E38:G39"/>
    <mergeCell ref="D40:G41"/>
    <mergeCell ref="D42:G42"/>
    <mergeCell ref="C25:D25"/>
    <mergeCell ref="C26:D26"/>
    <mergeCell ref="E26:G26"/>
    <mergeCell ref="C27:D27"/>
    <mergeCell ref="E33:F34"/>
    <mergeCell ref="G33:G34"/>
  </mergeCells>
  <conditionalFormatting sqref="C28">
    <cfRule type="cellIs" dxfId="10" priority="10" operator="equal">
      <formula>$A$28&lt;&gt;"Aantal uur verlof"</formula>
    </cfRule>
    <cfRule type="cellIs" dxfId="9" priority="11" operator="equal">
      <formula>""""""</formula>
    </cfRule>
    <cfRule type="cellIs" dxfId="8" priority="12" operator="between">
      <formula>1</formula>
      <formula>500</formula>
    </cfRule>
  </conditionalFormatting>
  <conditionalFormatting sqref="C27:D27">
    <cfRule type="containsText" dxfId="7" priority="74" operator="containsText" text="e">
      <formula>NOT(ISERROR(SEARCH("e",C27)))</formula>
    </cfRule>
    <cfRule type="cellIs" dxfId="6" priority="75" operator="equal">
      <formula>$A$27&lt;&gt;"Recht duurzame inzetbaarheid"</formula>
    </cfRule>
  </conditionalFormatting>
  <conditionalFormatting sqref="E74">
    <cfRule type="cellIs" dxfId="5" priority="1" operator="lessThan">
      <formula>0</formula>
    </cfRule>
  </conditionalFormatting>
  <conditionalFormatting sqref="G20:G21">
    <cfRule type="containsText" dxfId="4" priority="3" operator="containsText" text="u">
      <formula>NOT(ISERROR(SEARCH("u",G20)))</formula>
    </cfRule>
    <cfRule type="cellIs" dxfId="3" priority="4" operator="equal">
      <formula>$A$28&lt;&gt;"Aantal uur verlof"</formula>
    </cfRule>
    <cfRule type="cellIs" dxfId="2" priority="5" operator="equal">
      <formula>$E$25&lt;&gt;"Werktijdfactor verlof"</formula>
    </cfRule>
  </conditionalFormatting>
  <conditionalFormatting sqref="G25">
    <cfRule type="cellIs" dxfId="1" priority="6" operator="equal">
      <formula>$C$25&lt;&gt;"Ja"</formula>
    </cfRule>
    <cfRule type="cellIs" dxfId="0" priority="7" operator="between">
      <formula>0.0001</formula>
      <formula>2</formula>
    </cfRule>
  </conditionalFormatting>
  <dataValidations count="3">
    <dataValidation type="list" allowBlank="1" showInputMessage="1" showErrorMessage="1" sqref="C27:D27" xr:uid="{00000000-0002-0000-0300-000000000000}">
      <formula1>$S$20:$S$22</formula1>
    </dataValidation>
    <dataValidation type="list" allowBlank="1" showInputMessage="1" showErrorMessage="1" sqref="C25 D24" xr:uid="{00000000-0002-0000-0300-000001000000}">
      <formula1>"Ja,Nee"</formula1>
    </dataValidation>
    <dataValidation type="whole" allowBlank="1" showInputMessage="1" showErrorMessage="1" errorTitle="Foutieve invoer" error="Het aantal uur verlof past niet binnen uw budget" sqref="C28" xr:uid="{00000000-0002-0000-0300-000002000000}">
      <formula1>0</formula1>
      <formula2>IF(C27="Overgangsregeling 56+",ROUND(340*LEFT(D20,2)/40,0),IF(C27="Overgangsregeling 52+",ROUND(170*LEFT(D20,2)/40,0),IF(C27="Basis en bijzonder budget",ROUND(170*LEFT(D20,2)/40,0),"")))</formula2>
    </dataValidation>
  </dataValidations>
  <pageMargins left="0.7" right="0.7" top="0.75" bottom="0.75" header="0.3" footer="0.3"/>
  <pageSetup paperSize="9" orientation="portrait" horizontalDpi="1200" verticalDpi="1200" r:id="rId1"/>
  <ignoredErrors>
    <ignoredError sqref="G13:G1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9184E842A3C647A7336ABD2530FE96" ma:contentTypeVersion="18" ma:contentTypeDescription="Een nieuw document maken." ma:contentTypeScope="" ma:versionID="ac9047d7af9a21245f392b7ad8c07493">
  <xsd:schema xmlns:xsd="http://www.w3.org/2001/XMLSchema" xmlns:xs="http://www.w3.org/2001/XMLSchema" xmlns:p="http://schemas.microsoft.com/office/2006/metadata/properties" xmlns:ns2="ea9733b5-9f6b-4191-9590-7f69f3097d43" xmlns:ns3="61c19477-f1f6-410c-97a0-cddd4b4d687f" targetNamespace="http://schemas.microsoft.com/office/2006/metadata/properties" ma:root="true" ma:fieldsID="19faaee84715577c6bd8202ae0399fdc" ns2:_="" ns3:_="">
    <xsd:import namespace="ea9733b5-9f6b-4191-9590-7f69f3097d43"/>
    <xsd:import namespace="61c19477-f1f6-410c-97a0-cddd4b4d68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733b5-9f6b-4191-9590-7f69f3097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defcf91-241b-40c9-8398-632e96a423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19477-f1f6-410c-97a0-cddd4b4d687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c32789-6051-4d0b-809a-8f4daed161f4}" ma:internalName="TaxCatchAll" ma:showField="CatchAllData" ma:web="61c19477-f1f6-410c-97a0-cddd4b4d6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c19477-f1f6-410c-97a0-cddd4b4d687f" xsi:nil="true"/>
    <lcf76f155ced4ddcb4097134ff3c332f xmlns="ea9733b5-9f6b-4191-9590-7f69f3097d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13B911-94E9-4DBC-9E4A-D687EF3E19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733b5-9f6b-4191-9590-7f69f3097d43"/>
    <ds:schemaRef ds:uri="61c19477-f1f6-410c-97a0-cddd4b4d6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E5C97-5E99-457D-821D-3E315314780D}">
  <ds:schemaRefs>
    <ds:schemaRef ds:uri="http://schemas.microsoft.com/sharepoint/v3/contenttype/forms"/>
  </ds:schemaRefs>
</ds:datastoreItem>
</file>

<file path=customXml/itemProps3.xml><?xml version="1.0" encoding="utf-8"?>
<ds:datastoreItem xmlns:ds="http://schemas.openxmlformats.org/officeDocument/2006/customXml" ds:itemID="{1120060B-9905-4042-9E8B-493F7955944D}">
  <ds:schemaRefs>
    <ds:schemaRef ds:uri="http://purl.org/dc/dcmitype/"/>
    <ds:schemaRef ds:uri="http://schemas.microsoft.com/office/2006/documentManagement/types"/>
    <ds:schemaRef ds:uri="61c19477-f1f6-410c-97a0-cddd4b4d687f"/>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ea9733b5-9f6b-4191-9590-7f69f3097d4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wtf OP, obv lesuren</vt:lpstr>
      <vt:lpstr>wtf OP, obv dagdelen onderbouw</vt:lpstr>
      <vt:lpstr>wtf OP, obv dagdelen bovenbouw</vt:lpstr>
      <vt:lpstr>wtf OOP</vt:lpstr>
      <vt:lpstr>'wtf OP, obv lesuren'!Afdrukbereik</vt:lpstr>
    </vt:vector>
  </TitlesOfParts>
  <Manager/>
  <Company>VGS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 den Hartog</dc:creator>
  <cp:keywords/>
  <dc:description/>
  <cp:lastModifiedBy>AA A</cp:lastModifiedBy>
  <cp:revision/>
  <dcterms:created xsi:type="dcterms:W3CDTF">2014-12-09T15:05:40Z</dcterms:created>
  <dcterms:modified xsi:type="dcterms:W3CDTF">2026-05-21T08:17:36Z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0x010100679184E842A3C647A7336ABD2530FE96</vt:lpwstr>
  </property>
  <property fmtid="{D5CDD505-2E9C-101B-9397-08002B2CF9AE}" pid="3" name="MediaServiceImageTags">
    <vt:lpwstr/>
  </property>
</Properties>
</file>