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https://vgsnl.sharepoint.com/financieelmanagement/01. Teamzaken Advies Financieel/Sander/Taakbeleid - CAO/Berekeningsmodel wtf/"/>
    </mc:Choice>
  </mc:AlternateContent>
  <xr:revisionPtr revIDLastSave="47" documentId="8_{8F1D64EA-CB61-47D2-A4A6-14B4016F807C}" xr6:coauthVersionLast="47" xr6:coauthVersionMax="47" xr10:uidLastSave="{32A55AC4-BDA5-4EC4-ADD5-83080F0B3600}"/>
  <bookViews>
    <workbookView xWindow="-57720" yWindow="-120" windowWidth="29040" windowHeight="15840" tabRatio="767" xr2:uid="{00000000-000D-0000-FFFF-FFFF00000000}"/>
  </bookViews>
  <sheets>
    <sheet name="wtf OP, obv lesuren" sheetId="13" r:id="rId1"/>
    <sheet name="wtf OP, obv dagdelen onderbouw" sheetId="6" r:id="rId2"/>
    <sheet name="wtf OP, obv dagdelen bovenbouw" sheetId="10" r:id="rId3"/>
    <sheet name="wtf OOP" sheetId="9" r:id="rId4"/>
    <sheet name="wtf leerkracht huidig" sheetId="14" r:id="rId5"/>
    <sheet name="wtf OOP huidig" sheetId="12" r:id="rId6"/>
  </sheets>
  <definedNames>
    <definedName name="_xlnm.Print_Area" localSheetId="4">'wtf leerkracht huidig'!$A$1:$I$136</definedName>
    <definedName name="_xlnm.Print_Area" localSheetId="0">'wtf OP, obv lesuren'!$A$1:$I$159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4" i="12" l="1"/>
  <c r="Q23" i="12"/>
  <c r="Q22" i="12"/>
  <c r="Q20" i="12"/>
  <c r="Q21" i="12" s="1"/>
  <c r="P20" i="12"/>
  <c r="R29" i="14"/>
  <c r="R28" i="14"/>
  <c r="R27" i="14"/>
  <c r="R25" i="14"/>
  <c r="R26" i="14" s="1"/>
  <c r="Q25" i="14"/>
  <c r="S22" i="9"/>
  <c r="R18" i="9"/>
  <c r="S21" i="9"/>
  <c r="S20" i="9"/>
  <c r="S18" i="9"/>
  <c r="S19" i="9" s="1"/>
  <c r="T29" i="10"/>
  <c r="T25" i="10"/>
  <c r="T26" i="10" s="1"/>
  <c r="S25" i="10"/>
  <c r="T29" i="6"/>
  <c r="T25" i="6"/>
  <c r="T26" i="6" s="1"/>
  <c r="T27" i="6" s="1"/>
  <c r="S25" i="6"/>
  <c r="T24" i="13"/>
  <c r="S20" i="13"/>
  <c r="H20" i="13"/>
  <c r="T28" i="10" l="1"/>
  <c r="T27" i="10"/>
  <c r="T28" i="6"/>
  <c r="T20" i="13"/>
  <c r="T21" i="13" l="1"/>
  <c r="A33" i="6"/>
  <c r="A33" i="10" s="1"/>
  <c r="T22" i="13" l="1"/>
  <c r="T23" i="13"/>
  <c r="A31" i="13"/>
  <c r="H9" i="10"/>
  <c r="H9" i="6"/>
  <c r="F13" i="13"/>
  <c r="R59" i="14"/>
  <c r="E52" i="14"/>
  <c r="G52" i="14" s="1"/>
  <c r="E12" i="14" s="1"/>
  <c r="Q46" i="14"/>
  <c r="C44" i="14"/>
  <c r="C52" i="14" s="1"/>
  <c r="Q38" i="14"/>
  <c r="G37" i="14"/>
  <c r="F37" i="14"/>
  <c r="E37" i="14"/>
  <c r="C37" i="14"/>
  <c r="D36" i="14"/>
  <c r="A36" i="14"/>
  <c r="S35" i="14"/>
  <c r="G35" i="14"/>
  <c r="F35" i="14"/>
  <c r="E35" i="14"/>
  <c r="A35" i="14"/>
  <c r="E34" i="14"/>
  <c r="E33" i="14"/>
  <c r="E32" i="14"/>
  <c r="D25" i="14"/>
  <c r="Q36" i="14" s="1"/>
  <c r="C25" i="14"/>
  <c r="B12" i="14"/>
  <c r="E10" i="14"/>
  <c r="D32" i="13"/>
  <c r="S58" i="13"/>
  <c r="S57" i="13"/>
  <c r="F48" i="13"/>
  <c r="H48" i="13" s="1"/>
  <c r="V45" i="13"/>
  <c r="C40" i="13"/>
  <c r="C48" i="13" s="1"/>
  <c r="H33" i="13"/>
  <c r="G33" i="13"/>
  <c r="F33" i="13"/>
  <c r="D33" i="13"/>
  <c r="A32" i="13"/>
  <c r="U31" i="13"/>
  <c r="H31" i="13"/>
  <c r="G31" i="13"/>
  <c r="F31" i="13"/>
  <c r="R30" i="13"/>
  <c r="F30" i="13"/>
  <c r="F29" i="13"/>
  <c r="F28" i="13"/>
  <c r="F20" i="13"/>
  <c r="B20" i="13"/>
  <c r="D19" i="13"/>
  <c r="H23" i="13" s="1"/>
  <c r="C19" i="13"/>
  <c r="S52" i="13" l="1"/>
  <c r="S33" i="13" s="1"/>
  <c r="S32" i="13"/>
  <c r="Q39" i="14"/>
  <c r="R55" i="14"/>
  <c r="T33" i="13" l="1"/>
  <c r="R56" i="14"/>
  <c r="Q37" i="14"/>
  <c r="S53" i="13"/>
  <c r="T53" i="13" s="1"/>
  <c r="R37" i="14" l="1"/>
  <c r="S56" i="14"/>
  <c r="R57" i="14" s="1"/>
  <c r="R61" i="14" s="1"/>
  <c r="D20" i="13" l="1"/>
  <c r="C132" i="14"/>
  <c r="Q40" i="14"/>
  <c r="C50" i="14"/>
  <c r="C51" i="14"/>
  <c r="T56" i="14" s="1"/>
  <c r="F36" i="14" s="1"/>
  <c r="S40" i="14" l="1"/>
  <c r="T40" i="14" s="1"/>
  <c r="S39" i="14"/>
  <c r="T39" i="14" s="1"/>
  <c r="G51" i="14" s="1"/>
  <c r="I132" i="14" s="1"/>
  <c r="I133" i="14" s="1"/>
  <c r="S38" i="14"/>
  <c r="T38" i="14" s="1"/>
  <c r="G50" i="14" s="1"/>
  <c r="S36" i="14"/>
  <c r="T36" i="14" s="1"/>
  <c r="S37" i="14"/>
  <c r="T37" i="14" s="1"/>
  <c r="C53" i="14"/>
  <c r="T55" i="14"/>
  <c r="E36" i="14" s="1"/>
  <c r="C133" i="14"/>
  <c r="T57" i="14" s="1"/>
  <c r="G36" i="14" s="1"/>
  <c r="E56" i="14"/>
  <c r="E55" i="14"/>
  <c r="G53" i="14" l="1"/>
  <c r="F132" i="14"/>
  <c r="F133" i="14" s="1"/>
  <c r="U55" i="14"/>
  <c r="U56" i="14"/>
  <c r="U57" i="14"/>
  <c r="E36" i="9" l="1"/>
  <c r="Q1" i="9"/>
  <c r="S16" i="9" s="1"/>
  <c r="G36" i="9" l="1"/>
  <c r="E30" i="12" l="1"/>
  <c r="G26" i="12"/>
  <c r="C38" i="12" s="1"/>
  <c r="P33" i="12"/>
  <c r="Q49" i="12"/>
  <c r="E40" i="12"/>
  <c r="G40" i="12" s="1"/>
  <c r="P36" i="12"/>
  <c r="G35" i="12"/>
  <c r="F35" i="12"/>
  <c r="E35" i="12"/>
  <c r="C35" i="12"/>
  <c r="G34" i="12"/>
  <c r="F34" i="12"/>
  <c r="E34" i="12"/>
  <c r="D34" i="12"/>
  <c r="A34" i="12"/>
  <c r="P34" i="12" s="1"/>
  <c r="R30" i="12"/>
  <c r="G33" i="12"/>
  <c r="F33" i="12"/>
  <c r="E33" i="12"/>
  <c r="A33" i="12"/>
  <c r="E32" i="12"/>
  <c r="E31" i="12"/>
  <c r="C26" i="12"/>
  <c r="B26" i="12"/>
  <c r="E13" i="12"/>
  <c r="B13" i="12"/>
  <c r="E11" i="12"/>
  <c r="C39" i="12" l="1"/>
  <c r="R46" i="12"/>
  <c r="Q47" i="12" s="1"/>
  <c r="P32" i="12"/>
  <c r="E35" i="6"/>
  <c r="Q32" i="12" l="1"/>
  <c r="F25" i="10" l="1"/>
  <c r="F25" i="6"/>
  <c r="E20" i="9"/>
  <c r="F27" i="9" l="1"/>
  <c r="E27" i="9" l="1"/>
  <c r="T28" i="9"/>
  <c r="T27" i="9"/>
  <c r="E35" i="9"/>
  <c r="G35" i="9" s="1"/>
  <c r="G27" i="9"/>
  <c r="E26" i="9"/>
  <c r="E25" i="9"/>
  <c r="U28" i="9" l="1"/>
  <c r="E54" i="10"/>
  <c r="G54" i="10" s="1"/>
  <c r="H25" i="10" s="1"/>
  <c r="S48" i="10"/>
  <c r="C46" i="10"/>
  <c r="C54" i="10" s="1"/>
  <c r="R41" i="10"/>
  <c r="H39" i="10"/>
  <c r="G39" i="10"/>
  <c r="F39" i="10"/>
  <c r="D39" i="10"/>
  <c r="H38" i="10"/>
  <c r="G38" i="10"/>
  <c r="F38" i="10"/>
  <c r="D38" i="10"/>
  <c r="A38" i="10"/>
  <c r="E37" i="10"/>
  <c r="D37" i="10"/>
  <c r="C37" i="10"/>
  <c r="A37" i="10"/>
  <c r="U36" i="10"/>
  <c r="H36" i="10"/>
  <c r="G36" i="10"/>
  <c r="F36" i="10"/>
  <c r="A36" i="10"/>
  <c r="R35" i="10"/>
  <c r="E35" i="10"/>
  <c r="D34" i="10"/>
  <c r="D33" i="10"/>
  <c r="C24" i="10"/>
  <c r="G23" i="10"/>
  <c r="H28" i="10" s="1"/>
  <c r="F23" i="10"/>
  <c r="C23" i="10"/>
  <c r="B23" i="10"/>
  <c r="A36" i="6"/>
  <c r="G38" i="6"/>
  <c r="G39" i="6"/>
  <c r="C37" i="6"/>
  <c r="E54" i="6"/>
  <c r="A38" i="6"/>
  <c r="H36" i="6"/>
  <c r="G36" i="6"/>
  <c r="F36" i="6"/>
  <c r="D38" i="6"/>
  <c r="D37" i="6"/>
  <c r="T57" i="10" l="1"/>
  <c r="S37" i="10"/>
  <c r="S39" i="10" s="1"/>
  <c r="S63" i="10"/>
  <c r="H30" i="10"/>
  <c r="C52" i="10"/>
  <c r="F24" i="10" s="1"/>
  <c r="T58" i="10"/>
  <c r="C53" i="10" s="1"/>
  <c r="S41" i="10"/>
  <c r="T39" i="10"/>
  <c r="S40" i="10"/>
  <c r="U36" i="6"/>
  <c r="D39" i="6"/>
  <c r="R41" i="6"/>
  <c r="D34" i="6"/>
  <c r="C24" i="6"/>
  <c r="T59" i="10" l="1"/>
  <c r="S42" i="10" s="1"/>
  <c r="U42" i="10" s="1"/>
  <c r="V42" i="10" s="1"/>
  <c r="C55" i="10"/>
  <c r="G54" i="6"/>
  <c r="H25" i="6" s="1"/>
  <c r="C101" i="10" l="1"/>
  <c r="D59" i="10" s="1"/>
  <c r="U39" i="10"/>
  <c r="V39" i="10" s="1"/>
  <c r="U37" i="10"/>
  <c r="V37" i="10" s="1"/>
  <c r="U41" i="10"/>
  <c r="V41" i="10" s="1"/>
  <c r="G53" i="10" s="1"/>
  <c r="H99" i="10" s="1"/>
  <c r="H100" i="10" s="1"/>
  <c r="U40" i="10"/>
  <c r="V40" i="10" s="1"/>
  <c r="C102" i="10" l="1"/>
  <c r="E57" i="10"/>
  <c r="G52" i="10"/>
  <c r="F99" i="10" s="1"/>
  <c r="F100" i="10" s="1"/>
  <c r="G55" i="10" l="1"/>
  <c r="G14" i="9"/>
  <c r="G15" i="9"/>
  <c r="G16" i="9"/>
  <c r="G17" i="9"/>
  <c r="G13" i="9"/>
  <c r="F18" i="9"/>
  <c r="E18" i="9"/>
  <c r="A28" i="9"/>
  <c r="Q26" i="9"/>
  <c r="A27" i="9"/>
  <c r="C18" i="9"/>
  <c r="B18" i="9"/>
  <c r="D33" i="6"/>
  <c r="G18" i="9" l="1"/>
  <c r="D20" i="9" s="1"/>
  <c r="R41" i="9" s="1"/>
  <c r="D22" i="9" l="1"/>
  <c r="D28" i="9"/>
  <c r="R24" i="9"/>
  <c r="G20" i="9"/>
  <c r="R31" i="9"/>
  <c r="R42" i="9"/>
  <c r="R29" i="9"/>
  <c r="R30" i="9"/>
  <c r="S40" i="9"/>
  <c r="T31" i="9" l="1"/>
  <c r="U31" i="9" s="1"/>
  <c r="C76" i="9" s="1"/>
  <c r="G23" i="6"/>
  <c r="H28" i="6" s="1"/>
  <c r="H30" i="6" s="1"/>
  <c r="C23" i="6"/>
  <c r="S63" i="6" l="1"/>
  <c r="T30" i="9"/>
  <c r="T29" i="9"/>
  <c r="E28" i="9" s="1"/>
  <c r="G28" i="9"/>
  <c r="S40" i="6"/>
  <c r="C46" i="6"/>
  <c r="T42" i="9" l="1"/>
  <c r="U30" i="9"/>
  <c r="F28" i="9"/>
  <c r="G34" i="9" s="1"/>
  <c r="G74" i="9" s="1"/>
  <c r="G75" i="9" s="1"/>
  <c r="U29" i="9"/>
  <c r="G33" i="9" s="1"/>
  <c r="E74" i="9" s="1"/>
  <c r="E75" i="9" s="1"/>
  <c r="C54" i="6"/>
  <c r="A37" i="6"/>
  <c r="T62" i="6" s="1"/>
  <c r="R35" i="6"/>
  <c r="S48" i="6"/>
  <c r="F23" i="6"/>
  <c r="B23" i="6"/>
  <c r="G37" i="9" l="1"/>
  <c r="T57" i="6"/>
  <c r="T58" i="6" s="1"/>
  <c r="S37" i="6"/>
  <c r="S39" i="6" s="1"/>
  <c r="T39" i="6" s="1"/>
  <c r="S41" i="6"/>
  <c r="T59" i="6" l="1"/>
  <c r="S42" i="6" s="1"/>
  <c r="U39" i="6" l="1"/>
  <c r="F38" i="6" s="1"/>
  <c r="U37" i="6"/>
  <c r="V37" i="6" s="1"/>
  <c r="U40" i="6"/>
  <c r="V40" i="6" s="1"/>
  <c r="G52" i="6" s="1"/>
  <c r="F99" i="6" s="1"/>
  <c r="F100" i="6" s="1"/>
  <c r="C52" i="6"/>
  <c r="F24" i="6" s="1"/>
  <c r="U42" i="6"/>
  <c r="V42" i="6" s="1"/>
  <c r="U41" i="6"/>
  <c r="V41" i="6" s="1"/>
  <c r="G53" i="6" s="1"/>
  <c r="H99" i="6" s="1"/>
  <c r="H100" i="6" s="1"/>
  <c r="E37" i="6"/>
  <c r="H39" i="6"/>
  <c r="F39" i="6"/>
  <c r="V39" i="6" l="1"/>
  <c r="C53" i="6" s="1"/>
  <c r="C55" i="6" s="1"/>
  <c r="H38" i="6"/>
  <c r="C101" i="6"/>
  <c r="D59" i="6" s="1"/>
  <c r="G55" i="6"/>
  <c r="E57" i="6" l="1"/>
  <c r="C102" i="6"/>
  <c r="D40" i="9" l="1"/>
  <c r="C77" i="9" l="1"/>
  <c r="E38" i="9"/>
  <c r="C84" i="12"/>
  <c r="C85" i="12" s="1"/>
  <c r="S47" i="12" s="1"/>
  <c r="T46" i="12" s="1"/>
  <c r="P35" i="12"/>
  <c r="R31" i="12" s="1"/>
  <c r="S31" i="12" s="1"/>
  <c r="E43" i="12" l="1"/>
  <c r="R34" i="12"/>
  <c r="S34" i="12" s="1"/>
  <c r="G39" i="12" s="1"/>
  <c r="H82" i="12" s="1"/>
  <c r="H83" i="12" s="1"/>
  <c r="D45" i="12"/>
  <c r="R32" i="12"/>
  <c r="S32" i="12" s="1"/>
  <c r="T47" i="12"/>
  <c r="T45" i="12"/>
  <c r="R35" i="12"/>
  <c r="S35" i="12" s="1"/>
  <c r="R33" i="12"/>
  <c r="S33" i="12" s="1"/>
  <c r="G38" i="12" s="1"/>
  <c r="G41" i="12" l="1"/>
  <c r="F82" i="12"/>
  <c r="F83" i="12" s="1"/>
  <c r="H32" i="13" l="1"/>
  <c r="G32" i="13"/>
  <c r="F32" i="13"/>
  <c r="S34" i="13"/>
  <c r="S35" i="13"/>
  <c r="U59" i="13"/>
  <c r="H25" i="13"/>
  <c r="S54" i="13"/>
  <c r="C47" i="13" l="1"/>
  <c r="U53" i="13" s="1"/>
  <c r="S36" i="13"/>
  <c r="U36" i="13" s="1"/>
  <c r="V36" i="13" s="1"/>
  <c r="C156" i="13"/>
  <c r="V52" i="13"/>
  <c r="V53" i="13"/>
  <c r="C46" i="13"/>
  <c r="V54" i="13"/>
  <c r="U33" i="13" l="1"/>
  <c r="V33" i="13" s="1"/>
  <c r="C157" i="13"/>
  <c r="U54" i="13" s="1"/>
  <c r="E53" i="13"/>
  <c r="F51" i="13"/>
  <c r="U34" i="13"/>
  <c r="V34" i="13" s="1"/>
  <c r="H46" i="13" s="1"/>
  <c r="U32" i="13"/>
  <c r="V32" i="13" s="1"/>
  <c r="C49" i="13"/>
  <c r="U52" i="13"/>
  <c r="U35" i="13"/>
  <c r="V35" i="13" s="1"/>
  <c r="H47" i="13" s="1"/>
  <c r="H156" i="13" s="1"/>
  <c r="H157" i="13" s="1"/>
  <c r="H49" i="13" l="1"/>
  <c r="F156" i="13"/>
  <c r="F157" i="13" s="1"/>
</calcChain>
</file>

<file path=xl/sharedStrings.xml><?xml version="1.0" encoding="utf-8"?>
<sst xmlns="http://schemas.openxmlformats.org/spreadsheetml/2006/main" count="1392" uniqueCount="129">
  <si>
    <t>Normjaartaak OP schooljaar</t>
  </si>
  <si>
    <t>Schoolgegevens</t>
  </si>
  <si>
    <t>Persoonlijke gegevens</t>
  </si>
  <si>
    <t>School:</t>
  </si>
  <si>
    <t>Naam:</t>
  </si>
  <si>
    <t>Plaats</t>
  </si>
  <si>
    <t>Groep:</t>
  </si>
  <si>
    <t>Datum:</t>
  </si>
  <si>
    <r>
      <t xml:space="preserve">Gemiddeld aantal </t>
    </r>
    <r>
      <rPr>
        <u/>
        <sz val="10"/>
        <color theme="1"/>
        <rFont val="Tahoma"/>
        <family val="2"/>
      </rPr>
      <t>les</t>
    </r>
    <r>
      <rPr>
        <sz val="10"/>
        <color theme="1"/>
        <rFont val="Tahoma"/>
        <family val="2"/>
      </rPr>
      <t>weken</t>
    </r>
  </si>
  <si>
    <t>Percentage voor- en nawerk</t>
  </si>
  <si>
    <t>Toelichting</t>
  </si>
  <si>
    <t>Binnen het basismodel wordt vastgehouden aan de maximale lessentaak van 940 uur, naar rato van de werktijdfactor. Dit betekent dat bij een bepaald aantal lesuren een minimale werktijdfactor hoort. Deze werktijdtijdsfactor wordt automatisch berekend in dit model.</t>
  </si>
  <si>
    <t>Lesuren per week</t>
  </si>
  <si>
    <t>Schoolrooster</t>
  </si>
  <si>
    <t>Werknemer</t>
  </si>
  <si>
    <t>Maandag</t>
  </si>
  <si>
    <t>Dinsdag</t>
  </si>
  <si>
    <t>Woensdag</t>
  </si>
  <si>
    <t>Naast het standaard aantal werkuren is het mogelijk dat een werknemer incidenteel extra moet werken bovenop de jaartaak. Dit kunnen bv. lesuren voor vervanging zijn of extra taakuren zoals de aanwezigheid voor een parttimer bij ouderavonden. Deze uren kunnen worden ingevuld in regel 23.</t>
  </si>
  <si>
    <t>Donderdag</t>
  </si>
  <si>
    <t>Vrijdag</t>
  </si>
  <si>
    <t>Totaal</t>
  </si>
  <si>
    <t>Extra uren per jaar bovenop de jaartaak</t>
  </si>
  <si>
    <t>Tot slot kunnen er extra uren toegekend worden voor taken die niet binnen de huidige werktijdfactor uitgevoerd kunnen worden. Regel 24 geeft de mogelijkheid hier extra uren op jaarbasis voor uit te keren.</t>
  </si>
  <si>
    <t>Lesgevende uren (excl. voor- en nawerk)</t>
  </si>
  <si>
    <t>Werktijdfactor:</t>
  </si>
  <si>
    <t>Extra taakuren (op jaarbasis)</t>
  </si>
  <si>
    <t>Werktijdfactor numeriek:</t>
  </si>
  <si>
    <t>Werknemer specifiek</t>
  </si>
  <si>
    <r>
      <t xml:space="preserve">Bij </t>
    </r>
    <r>
      <rPr>
        <b/>
        <sz val="10"/>
        <color theme="1"/>
        <rFont val="Tahoma"/>
        <family val="2"/>
      </rPr>
      <t>vrij geroosterde</t>
    </r>
    <r>
      <rPr>
        <sz val="10"/>
        <color theme="1"/>
        <rFont val="Tahoma"/>
        <family val="2"/>
      </rPr>
      <t xml:space="preserve"> uren wordt gevraagd naar het aantal te compenseren lesuren op jaarbasis. Voorheen de zogenaamde compensatieverlofuren.</t>
    </r>
  </si>
  <si>
    <t>verdeling</t>
  </si>
  <si>
    <t>Vrij geroosterde lesuren</t>
  </si>
  <si>
    <t>voor/na</t>
  </si>
  <si>
    <t>Ouderschapsverlof</t>
  </si>
  <si>
    <t>Geboortedatum</t>
  </si>
  <si>
    <t xml:space="preserve">De leeftijd van de werknemer bepaalt hoeveel recht er is op uren aan duurzame inzetbaarheid. </t>
  </si>
  <si>
    <t>lesgebonden/behandeltaken</t>
  </si>
  <si>
    <t>overige taken</t>
  </si>
  <si>
    <t>Extra voor- en nawerk per jaar in verband met.. (uren op jaarbasis)</t>
  </si>
  <si>
    <t>.. aantal zorgleerlingen</t>
  </si>
  <si>
    <t>Het is mogelijk dat een bepaalde leerkracht extra ruimte krijgt in verband met bijzondere omstandigheden in de klas. Hiernaast is ruimte gereserveerd om deze uren in te vullen. Dit gaat ten koste van nog bestaande uren voor resttaken en worden verrekend onder de lesgebonden uren.</t>
  </si>
  <si>
    <t>.. groepsgrootte</t>
  </si>
  <si>
    <t>.. startende leerkracht</t>
  </si>
  <si>
    <t>.. anders</t>
  </si>
  <si>
    <t>TOTAALOVERZICHT verdeling werkzaamheden</t>
  </si>
  <si>
    <t>Lesgebonden uren</t>
  </si>
  <si>
    <t>Niet-lesgebonden uren</t>
  </si>
  <si>
    <t>Overgangsregeling 52+</t>
  </si>
  <si>
    <t>Lesuren op jaarbasis</t>
  </si>
  <si>
    <t>Professionalisering</t>
  </si>
  <si>
    <t>Overgangsregeling 56+</t>
  </si>
  <si>
    <t>Voor- en nawerk</t>
  </si>
  <si>
    <t>Duurzame inzetbaarheid</t>
  </si>
  <si>
    <t>Basis en bijzonder budget</t>
  </si>
  <si>
    <t>Extra voor- en nawerk</t>
  </si>
  <si>
    <t>Totaal lesgebonden uren</t>
  </si>
  <si>
    <t>Enkel basis budget</t>
  </si>
  <si>
    <t>Taakuren buiten het voor- en nawerk op jaarbasis</t>
  </si>
  <si>
    <t>Onder de taakuren kunnen de uren aan overige taken verder uit gespecificeerd worden. Dit zijn dus de taken welke buiten het voor- en nawerk vallen. Wanneer blijkt dat het gewenst aantal taken niet binnen de huidige werktijdfactor past, zal er een foutmelding getoond worden. In dit geval moet het aantal extra taakuren van de werknemer (regel 24) worden aangepast.</t>
  </si>
  <si>
    <t>Ouderavonden</t>
  </si>
  <si>
    <t>(Team)Vergaderingen</t>
  </si>
  <si>
    <t>Teamscholing</t>
  </si>
  <si>
    <t>Project</t>
  </si>
  <si>
    <t>Invulling specifieke bestemmingsuren</t>
  </si>
  <si>
    <t>……</t>
  </si>
  <si>
    <t>Studieverlof</t>
  </si>
  <si>
    <t>Individuele scholing</t>
  </si>
  <si>
    <t>Peerreview</t>
  </si>
  <si>
    <t>Mobiliteit</t>
  </si>
  <si>
    <t>…..</t>
  </si>
  <si>
    <t>Resturen op jaarbasis</t>
  </si>
  <si>
    <t>Nog in te vullen</t>
  </si>
  <si>
    <t>Totaal taakuren</t>
  </si>
  <si>
    <t>Normjaartaak OP schooljaar:</t>
  </si>
  <si>
    <t>Opmerkingen:</t>
  </si>
  <si>
    <t>Het uitgangspunt van de nieuwe werktijdfactor is niet meer het aantal lesuren, maar het werkelijk aantal te werken uren. Daarom wordt in dit nieuwe model onderscheid gemaakt tussen het aantal lesuren en het aantal werkuren per dag.</t>
  </si>
  <si>
    <t>Standaard weekspreiding van lesuren (leerling) en werkuren (werknemer)</t>
  </si>
  <si>
    <t>STANDAARD SCHOOLROOSTER</t>
  </si>
  <si>
    <t>ROOSTER WERKNEMER</t>
  </si>
  <si>
    <t>Lesuren</t>
  </si>
  <si>
    <r>
      <rPr>
        <sz val="10"/>
        <color theme="1"/>
        <rFont val="Tahoma"/>
        <family val="2"/>
      </rPr>
      <t xml:space="preserve">Spreiding </t>
    </r>
    <r>
      <rPr>
        <u/>
        <sz val="10"/>
        <color theme="1"/>
        <rFont val="Tahoma"/>
        <family val="2"/>
      </rPr>
      <t>werk</t>
    </r>
    <r>
      <rPr>
        <sz val="10"/>
        <color theme="1"/>
        <rFont val="Tahoma"/>
        <family val="2"/>
      </rPr>
      <t>uren</t>
    </r>
  </si>
  <si>
    <r>
      <t>De eerste stap</t>
    </r>
    <r>
      <rPr>
        <sz val="10"/>
        <color theme="1"/>
        <rFont val="Tahoma"/>
        <family val="2"/>
      </rPr>
      <t xml:space="preserve"> is om het standaard schoolrooster in te vullen. Vul het aantal lesuren in voor een standaard lesweek en bepaal het aantal uren per dagdeel dat hierbij wordt gewerkt. </t>
    </r>
    <r>
      <rPr>
        <b/>
        <sz val="10"/>
        <color theme="1"/>
        <rFont val="Tahoma"/>
        <family val="2"/>
      </rPr>
      <t>De tweede stap</t>
    </r>
    <r>
      <rPr>
        <sz val="10"/>
        <color theme="1"/>
        <rFont val="Tahoma"/>
        <family val="2"/>
      </rPr>
      <t xml:space="preserve"> is om het rooster van de werknemer in te vullen. Vul het aantal lesuren in dat de werknemer les geeft in een standaard week en bepaal welke dagdelen hierbij gewerkt moet worden. Het is mogelijk af te wijken van het standaard schoolrooster in overleg met de werknemer. Wanneer een leerkracht een dag ambulant is, vult u geen lesuren in maar wel werkuren. Bij een O.O.P.'er vult u ook enkel werkuren in.</t>
    </r>
  </si>
  <si>
    <t>Ochtend</t>
  </si>
  <si>
    <t>Middag</t>
  </si>
  <si>
    <t>Lesgevende uren (ex. voor- en nawerk)</t>
  </si>
  <si>
    <t>Naast het standaard aantal werkuren is het mogelijk dat een werknemer incidenteel extra moet werken bovenop de jaartaak. Dit kunnen bv. lesuren voor vervanging zijn of extra taakuren zoals de aanwezigheid voor een parttimer bij ouderavonden.</t>
  </si>
  <si>
    <t>Extra taakuren</t>
  </si>
  <si>
    <r>
      <t xml:space="preserve">Een hoger percentage aan </t>
    </r>
    <r>
      <rPr>
        <b/>
        <sz val="10"/>
        <color theme="1"/>
        <rFont val="Tahoma"/>
        <family val="2"/>
      </rPr>
      <t>voor- en nawerk</t>
    </r>
    <r>
      <rPr>
        <sz val="10"/>
        <color theme="1"/>
        <rFont val="Tahoma"/>
        <family val="2"/>
      </rPr>
      <t xml:space="preserve"> leidt tot een lager aantal uren voor overige taken.</t>
    </r>
  </si>
  <si>
    <t>De leeftijd van de werknemer bepaalt hoeveel recht er is op uren aan duurzame inzetbaarheid. Wanneer de werknemer recht heeft op verlof moet bepaald worden hoe dit verlof wordt verdeeld over lesuren, voor- en nawerk en taakuren. Hiervoor geldt geen vaste verhouding.</t>
  </si>
  <si>
    <t>Duurz. inzetbaarheid</t>
  </si>
  <si>
    <t>Onder de taakuren kunnen de uren aan overige taken verder uit gespecificeerd worden. Dit zijn dus de taken welke buiten het voor- en nawerk vallen. Wanneer blijkt dat het gewenst aantal taken niet binnen de huidige werktijdfactor past, zal er een foutmelding getoond worden. In dit geval moet het aantal werkuren van de werknemer worden aangepast.</t>
  </si>
  <si>
    <t>Normjaartaak OOP schooljaar</t>
  </si>
  <si>
    <t>Voor een werknemer die benoemd wordt in de categorie O.O.P. moet worden bepaald hoeveel uur per dag deze werknemer nodig is. Dit gaat nadrukkelijk om werkuren en staat los van de leerlinguren. Voor O.O.P.'ers geldt ook dat deze uren verdeeld moeten worden over maximaal 40 uur per week, naar rato van de werktijdfactor. Dit betekent dus ook dat een deel in de leerlingvakanties wordt gewerkt.</t>
  </si>
  <si>
    <t>Vaste werkdagen per week</t>
  </si>
  <si>
    <t>Variabele dagen per jaar</t>
  </si>
  <si>
    <t>Daguren</t>
  </si>
  <si>
    <t>aantal dagen</t>
  </si>
  <si>
    <t>Naast het standaard aantal werkuren is het mogelijk dat een werknemer incidenteel extra moet werken bovenop de jaartaak. Dit kunnen bijvoorbeeld extra dagen zijn bij vergaderingen of projecten. Hiervoor is de tweede tabel bedoeld waarin aangegeven kan worden hoeveel dagen in het jaar, bovenop de jaartaak, moet worden gewerkt.</t>
  </si>
  <si>
    <t>Leeftijd</t>
  </si>
  <si>
    <t>Uitvoering lesgebonden en/of behandeltaken</t>
  </si>
  <si>
    <t xml:space="preserve">Lesgebonden en/of behandeltaken zijn activiteiten met één of meerdere leerling(en) die voor die leerling(en) gelden als onderwijstijd. </t>
  </si>
  <si>
    <t>Specificatie op jaarbasis</t>
  </si>
  <si>
    <t>Niet-taakgebonden uren</t>
  </si>
  <si>
    <t>Onder de taakuren kunnen de uren verder uit gespecificeerd worden. Wanneer blijkt dat het gewenst aantal taken niet binnen de huidige werktijdfactor past, zal er een foutmelding getoond worden. In dit geval moeten er extra variabelen toegevoegd worden.</t>
  </si>
  <si>
    <t>Huidige werktijdfactor</t>
  </si>
  <si>
    <t>De oude werktijdfactor van een werknemer blijft bestaan, maar wordt nu weergegeven in uren en minuten. Hiernaast kunt u de bestaande werktijdfactor invullen.</t>
  </si>
  <si>
    <t>Het percentage voor- en nawerk bepaalt mede het aantal lesgebonden uren. Een hoger opslagpercentage betekent een lager restant aan overige taken.</t>
  </si>
  <si>
    <r>
      <t xml:space="preserve">Gemiddeld aantal </t>
    </r>
    <r>
      <rPr>
        <u/>
        <sz val="10"/>
        <color theme="1"/>
        <rFont val="Tahoma"/>
        <family val="2"/>
      </rPr>
      <t>school</t>
    </r>
    <r>
      <rPr>
        <sz val="10"/>
        <color theme="1"/>
        <rFont val="Tahoma"/>
        <family val="2"/>
      </rPr>
      <t>weken</t>
    </r>
  </si>
  <si>
    <t>In de rode vlakken hiernaast kan aangegeven worden wat het lesmodel is dat schoolbreed wordt aangehouden. Let hierbij op of het gaat om een onderbouw- of bovenbouwklas. In de blauwe vlakken hiernaast vult u de lesuren van de werknemer in. Dit bepaalt het aantal lesgebonden uren.</t>
  </si>
  <si>
    <t>Naast het standaard aantal werkuren is het mogelijk dat een werknemer incidenteel extra moet werken bovenop de jaartaak. Dit kunnen bv. lesuren voor vervanging zijn of extra taakuren zoals de aanwezigheid voor een parttimer bij ouderavonden. Deze uren kunnen ingevuld worden in regel 27.</t>
  </si>
  <si>
    <t>Lesuren per jaar bovenop de jaartaak</t>
  </si>
  <si>
    <t>Extra lesgevende uren (excl. voor- en nawerk)</t>
  </si>
  <si>
    <t>Extra voor- en nawerk per jaar in verband met.. (op jaarbasis)</t>
  </si>
  <si>
    <t>Onder de taakuren kunnen de uren aan overige taken verder uit gespecificeerd worden. Dit zijn dus de taken welke buiten het voor- en nawerk vallen. Wanneer blijkt dat het gewenst aantal taken niet binnen de huidige werktijdfactor past, zal er een foutmelding getoond worden. Dit betekent dus dat de werknemer te veel taken heeft. Hierdoor moet óf de werktijdfactor verhoogd worden, óf het aantal taken moet verminderd worden.</t>
  </si>
  <si>
    <t>Rest</t>
  </si>
  <si>
    <t>Project X</t>
  </si>
  <si>
    <t>Normjaartaak OOP schooljaar:</t>
  </si>
  <si>
    <t>Uren per week</t>
  </si>
  <si>
    <t>Extra uren per jaar in verband met.. (jaarbasis)</t>
  </si>
  <si>
    <t>Ter informatie kunt u in de rode vlakken het les- of schoolrooster invullen wat op de school van toepassing is. Dit is enkel ter info. In de blauwe cellen kunnen de uren per dag ingevuld worden zoals toegepast bij de betreffende werknemer.</t>
  </si>
  <si>
    <t>Naast het standaard aantal werkuren is het mogelijk dat een werknemer incidenteel extra moet werken bovenop de jaartaak. Als dit verwerkt is in de werktijdfactor kan dit als uitsplitsing worden weergegeven onder de 'Extra uren per jaar'.</t>
  </si>
  <si>
    <r>
      <t xml:space="preserve">Bij </t>
    </r>
    <r>
      <rPr>
        <b/>
        <sz val="10"/>
        <color theme="1"/>
        <rFont val="Tahoma"/>
        <family val="2"/>
      </rPr>
      <t>vrij geroosterde</t>
    </r>
    <r>
      <rPr>
        <sz val="10"/>
        <color theme="1"/>
        <rFont val="Tahoma"/>
        <family val="2"/>
      </rPr>
      <t xml:space="preserve"> uren wordt gevraagd naar het aantal te compenseren uren op jaarbasis. Voorheen de zogenaamde compensatieverlofuren.</t>
    </r>
  </si>
  <si>
    <t>Vrij geroosterde uren</t>
  </si>
  <si>
    <t>Nee</t>
  </si>
  <si>
    <t>Extra uren per jaar</t>
  </si>
  <si>
    <t>Standaard werkzaamheden</t>
  </si>
  <si>
    <t>Onder de taakuren kunnen de uren  verder uit gespecificeerd worden. Wanneer blijkt dat het gewenst aantal taken niet binnen de huidige werktijdfactor past, zal er een foutmelding getoond worden. Dit betekent dus dat de werknemer te veel taken heeft. Hierdoor moet óf de werktijdfactor verhoogd worden, óf het aantal taken moet verminderd worden.</t>
  </si>
  <si>
    <t/>
  </si>
  <si>
    <t>Versie juni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</si>
</sst>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0.000"/>
    <numFmt numFmtId="165" formatCode="_ * #,##0_ ;_ * \-#,##0_ ;_ * &quot;-&quot;??_ ;_ @_ "/>
    <numFmt numFmtId="166" formatCode="0.0000"/>
    <numFmt numFmtId="167" formatCode="0.00000"/>
    <numFmt numFmtId="168" formatCode="_ * #,##0.0000_ ;_ * \-#,##0.0000_ ;_ * &quot;-&quot;??_ ;_ @_ "/>
    <numFmt numFmtId="169" formatCode="_ * #,##0.00000_ ;_ * \-#,##0.00000_ ;_ * &quot;-&quot;??_ ;_ @_ "/>
    <numFmt numFmtId="170" formatCode="_ * #,##0.0000_ ;_ * \-#,##0.0000_ ;_ * &quot;-&quot;????_ ;_ @_ "/>
  </numFmts>
  <fonts count="24" x14ac:knownFonts="1">
    <font>
      <sz val="10"/>
      <color theme="1"/>
      <name val="Tahoma"/>
      <family val="2"/>
    </font>
    <font>
      <b/>
      <sz val="10"/>
      <color theme="1"/>
      <name val="Tahoma"/>
      <family val="2"/>
    </font>
    <font>
      <i/>
      <sz val="10"/>
      <color theme="1"/>
      <name val="Tahoma"/>
      <family val="2"/>
    </font>
    <font>
      <b/>
      <i/>
      <sz val="10"/>
      <color theme="1"/>
      <name val="Tahoma"/>
      <family val="2"/>
    </font>
    <font>
      <u/>
      <sz val="10"/>
      <color theme="1"/>
      <name val="Tahoma"/>
      <family val="2"/>
    </font>
    <font>
      <b/>
      <u/>
      <sz val="10"/>
      <color theme="1"/>
      <name val="Tahoma"/>
      <family val="2"/>
    </font>
    <font>
      <sz val="10"/>
      <color theme="1"/>
      <name val="Tahoma"/>
      <family val="2"/>
    </font>
    <font>
      <b/>
      <sz val="12"/>
      <color theme="1"/>
      <name val="Tahoma"/>
      <family val="2"/>
    </font>
    <font>
      <sz val="10"/>
      <color rgb="FFFF0000"/>
      <name val="Tahoma"/>
      <family val="2"/>
    </font>
    <font>
      <b/>
      <sz val="11"/>
      <color theme="1"/>
      <name val="Tahoma"/>
      <family val="2"/>
    </font>
    <font>
      <b/>
      <sz val="14"/>
      <color theme="1"/>
      <name val="Tahoma"/>
      <family val="2"/>
    </font>
    <font>
      <b/>
      <sz val="10"/>
      <color rgb="FFFF0000"/>
      <name val="Tahoma"/>
      <family val="2"/>
    </font>
    <font>
      <b/>
      <sz val="14"/>
      <color rgb="FFFF0000"/>
      <name val="Tahoma"/>
      <family val="2"/>
    </font>
    <font>
      <b/>
      <sz val="12"/>
      <name val="Tahoma"/>
      <family val="2"/>
    </font>
    <font>
      <b/>
      <i/>
      <sz val="11"/>
      <color theme="1"/>
      <name val="Tahoma"/>
      <family val="2"/>
    </font>
    <font>
      <i/>
      <sz val="8"/>
      <color rgb="FFFF0000"/>
      <name val="Tahoma"/>
      <family val="2"/>
    </font>
    <font>
      <sz val="10"/>
      <color theme="0"/>
      <name val="Tahoma"/>
      <family val="2"/>
    </font>
    <font>
      <sz val="9"/>
      <color theme="1"/>
      <name val="Tahoma"/>
      <family val="2"/>
    </font>
    <font>
      <i/>
      <sz val="10"/>
      <color theme="0"/>
      <name val="Tahoma"/>
      <family val="2"/>
    </font>
    <font>
      <sz val="8"/>
      <color theme="1"/>
      <name val="Tahoma"/>
      <family val="2"/>
    </font>
    <font>
      <sz val="10"/>
      <name val="Tahoma"/>
      <family val="2"/>
    </font>
    <font>
      <i/>
      <sz val="11"/>
      <color theme="1"/>
      <name val="Tahoma"/>
      <family val="2"/>
    </font>
    <font>
      <b/>
      <sz val="13"/>
      <color theme="1"/>
      <name val="Tahoma"/>
      <family val="2"/>
    </font>
    <font>
      <b/>
      <sz val="10"/>
      <name val="Tahoma"/>
      <family val="2"/>
    </font>
  </fonts>
  <fills count="7">
    <fill>
      <patternFill patternType="none"/>
    </fill>
    <fill>
      <patternFill patternType="gray125"/>
    </fill>
    <fill>
      <patternFill patternType="solid">
        <fgColor theme="0"/>
        <bgColor indexed="64"/>
      </patternFill>
    </fill>
    <fill>
      <patternFill patternType="solid">
        <fgColor rgb="FFFFABAB"/>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9A9B9D"/>
        <bgColor indexed="64"/>
      </patternFill>
    </fill>
  </fills>
  <borders count="21">
    <border>
      <left/>
      <right/>
      <top/>
      <bottom/>
      <diagonal/>
    </border>
    <border>
      <left/>
      <right/>
      <top/>
      <bottom style="hair">
        <color indexed="64"/>
      </bottom>
      <diagonal/>
    </border>
    <border>
      <left/>
      <right/>
      <top/>
      <bottom style="medium">
        <color rgb="FF00008F"/>
      </bottom>
      <diagonal/>
    </border>
    <border>
      <left/>
      <right/>
      <top/>
      <bottom style="medium">
        <color rgb="FFC20000"/>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rgb="FF9A9B9D"/>
      </bottom>
      <diagonal/>
    </border>
    <border>
      <left/>
      <right style="thin">
        <color indexed="64"/>
      </right>
      <top/>
      <bottom/>
      <diagonal/>
    </border>
    <border>
      <left/>
      <right/>
      <top/>
      <bottom style="medium">
        <color indexed="64"/>
      </bottom>
      <diagonal/>
    </border>
    <border>
      <left style="hair">
        <color indexed="64"/>
      </left>
      <right/>
      <top/>
      <bottom/>
      <diagonal/>
    </border>
    <border>
      <left style="medium">
        <color indexed="64"/>
      </left>
      <right/>
      <top/>
      <bottom/>
      <diagonal/>
    </border>
    <border>
      <left style="hair">
        <color indexed="64"/>
      </left>
      <right/>
      <top style="hair">
        <color indexed="64"/>
      </top>
      <bottom style="hair">
        <color indexed="64"/>
      </bottom>
      <diagonal/>
    </border>
    <border>
      <left/>
      <right/>
      <top/>
      <bottom style="thin">
        <color indexed="64"/>
      </bottom>
      <diagonal/>
    </border>
    <border>
      <left/>
      <right/>
      <top style="medium">
        <color rgb="FF00008F"/>
      </top>
      <bottom/>
      <diagonal/>
    </border>
    <border>
      <left/>
      <right/>
      <top style="hair">
        <color indexed="64"/>
      </top>
      <bottom/>
      <diagonal/>
    </border>
    <border>
      <left/>
      <right style="medium">
        <color indexed="64"/>
      </right>
      <top/>
      <bottom/>
      <diagonal/>
    </border>
    <border>
      <left/>
      <right/>
      <top/>
      <bottom style="medium">
        <color rgb="FF9393FF"/>
      </bottom>
      <diagonal/>
    </border>
    <border>
      <left/>
      <right/>
      <top style="medium">
        <color rgb="FFC20000"/>
      </top>
      <bottom/>
      <diagonal/>
    </border>
    <border>
      <left/>
      <right style="hair">
        <color indexed="64"/>
      </right>
      <top style="hair">
        <color indexed="64"/>
      </top>
      <bottom style="hair">
        <color indexed="64"/>
      </bottom>
      <diagonal/>
    </border>
  </borders>
  <cellStyleXfs count="3">
    <xf numFmtId="0" fontId="0" fillId="0" borderId="0"/>
    <xf numFmtId="43" fontId="6" fillId="0" borderId="0" applyFont="0" applyFill="0" applyBorder="0" applyAlignment="0" applyProtection="0"/>
    <xf numFmtId="9" fontId="6" fillId="0" borderId="0" applyFont="0" applyFill="0" applyBorder="0" applyAlignment="0" applyProtection="0"/>
  </cellStyleXfs>
  <cellXfs count="227">
    <xf numFmtId="0" fontId="0" fillId="0" borderId="0" xfId="0"/>
    <xf numFmtId="2" fontId="0" fillId="3" borderId="4" xfId="0" applyNumberFormat="1" applyFill="1" applyBorder="1" applyAlignment="1" applyProtection="1">
      <alignment horizontal="center"/>
      <protection locked="0"/>
    </xf>
    <xf numFmtId="2" fontId="0" fillId="4" borderId="4" xfId="0" applyNumberFormat="1" applyFill="1" applyBorder="1" applyAlignment="1" applyProtection="1">
      <alignment horizontal="center"/>
      <protection locked="0"/>
    </xf>
    <xf numFmtId="2" fontId="0" fillId="4" borderId="4" xfId="0" applyNumberFormat="1" applyFill="1" applyBorder="1" applyAlignment="1" applyProtection="1">
      <protection locked="0"/>
    </xf>
    <xf numFmtId="0" fontId="1" fillId="4" borderId="4" xfId="0" applyFont="1" applyFill="1" applyBorder="1" applyProtection="1">
      <protection locked="0"/>
    </xf>
    <xf numFmtId="0" fontId="0" fillId="2" borderId="0" xfId="0" applyFill="1" applyAlignment="1" applyProtection="1">
      <alignment horizontal="center"/>
      <protection locked="0"/>
    </xf>
    <xf numFmtId="2" fontId="0" fillId="3" borderId="13" xfId="0" applyNumberFormat="1" applyFill="1" applyBorder="1" applyAlignment="1" applyProtection="1">
      <alignment horizontal="center"/>
      <protection locked="0"/>
    </xf>
    <xf numFmtId="0" fontId="0" fillId="2" borderId="0" xfId="0" applyFill="1" applyBorder="1" applyProtection="1">
      <protection locked="0"/>
    </xf>
    <xf numFmtId="0" fontId="0" fillId="2" borderId="9" xfId="0" applyFill="1" applyBorder="1" applyProtection="1"/>
    <xf numFmtId="0" fontId="0" fillId="2" borderId="0" xfId="0" applyFill="1" applyBorder="1" applyProtection="1"/>
    <xf numFmtId="165" fontId="0" fillId="2" borderId="10" xfId="0" applyNumberFormat="1" applyFill="1" applyBorder="1" applyProtection="1"/>
    <xf numFmtId="0" fontId="0" fillId="5" borderId="0" xfId="0" applyFill="1" applyBorder="1" applyProtection="1"/>
    <xf numFmtId="0" fontId="0" fillId="0" borderId="0" xfId="0" applyBorder="1" applyProtection="1"/>
    <xf numFmtId="0" fontId="1" fillId="2" borderId="0" xfId="0" applyFont="1" applyFill="1" applyBorder="1" applyProtection="1"/>
    <xf numFmtId="165" fontId="1" fillId="2" borderId="7" xfId="0" applyNumberFormat="1" applyFont="1" applyFill="1" applyBorder="1" applyProtection="1"/>
    <xf numFmtId="0" fontId="0" fillId="4" borderId="4" xfId="0" applyFill="1" applyBorder="1" applyProtection="1">
      <protection locked="0"/>
    </xf>
    <xf numFmtId="1" fontId="1" fillId="2" borderId="0" xfId="0" applyNumberFormat="1" applyFont="1" applyFill="1" applyBorder="1" applyProtection="1"/>
    <xf numFmtId="0" fontId="11" fillId="2" borderId="0" xfId="0" applyFont="1" applyFill="1" applyBorder="1" applyAlignment="1" applyProtection="1">
      <alignment vertical="center" wrapText="1"/>
    </xf>
    <xf numFmtId="0" fontId="5" fillId="2" borderId="0" xfId="0" applyFont="1" applyFill="1" applyBorder="1" applyProtection="1"/>
    <xf numFmtId="165" fontId="0" fillId="4" borderId="4" xfId="1" applyNumberFormat="1" applyFont="1" applyFill="1" applyBorder="1" applyAlignment="1" applyProtection="1">
      <protection locked="0"/>
    </xf>
    <xf numFmtId="0" fontId="11" fillId="6" borderId="0" xfId="0" applyFont="1" applyFill="1" applyBorder="1" applyAlignment="1" applyProtection="1">
      <alignment vertical="center" wrapText="1"/>
    </xf>
    <xf numFmtId="0" fontId="0" fillId="6" borderId="0" xfId="0" applyFill="1" applyBorder="1" applyProtection="1"/>
    <xf numFmtId="165" fontId="0" fillId="4" borderId="4" xfId="1" applyNumberFormat="1" applyFont="1" applyFill="1" applyBorder="1" applyAlignment="1" applyProtection="1">
      <alignment horizontal="center"/>
      <protection locked="0"/>
    </xf>
    <xf numFmtId="2" fontId="0" fillId="4" borderId="4" xfId="1" applyNumberFormat="1" applyFont="1" applyFill="1" applyBorder="1" applyAlignment="1" applyProtection="1">
      <alignment horizontal="center"/>
      <protection locked="0"/>
    </xf>
    <xf numFmtId="0" fontId="0" fillId="2" borderId="0" xfId="0" applyFont="1" applyFill="1" applyBorder="1" applyAlignment="1" applyProtection="1">
      <alignment horizontal="left"/>
      <protection locked="0"/>
    </xf>
    <xf numFmtId="0" fontId="10" fillId="2" borderId="0" xfId="0" applyFont="1" applyFill="1" applyBorder="1" applyProtection="1"/>
    <xf numFmtId="0" fontId="2" fillId="0" borderId="0" xfId="0" applyFont="1" applyBorder="1" applyProtection="1"/>
    <xf numFmtId="0" fontId="3" fillId="2" borderId="0" xfId="0" applyFont="1" applyFill="1" applyBorder="1" applyProtection="1"/>
    <xf numFmtId="14" fontId="0" fillId="2" borderId="0" xfId="0" applyNumberFormat="1" applyFill="1" applyBorder="1" applyProtection="1"/>
    <xf numFmtId="0" fontId="0" fillId="2" borderId="0" xfId="0" applyFont="1" applyFill="1" applyBorder="1" applyProtection="1"/>
    <xf numFmtId="0" fontId="0" fillId="2" borderId="2" xfId="0" applyFill="1" applyBorder="1" applyProtection="1"/>
    <xf numFmtId="0" fontId="0" fillId="6" borderId="2" xfId="0" applyFill="1" applyBorder="1" applyProtection="1"/>
    <xf numFmtId="0" fontId="2" fillId="2" borderId="0" xfId="0" applyFont="1" applyFill="1" applyBorder="1" applyAlignment="1" applyProtection="1">
      <alignment vertical="top"/>
    </xf>
    <xf numFmtId="0" fontId="5" fillId="2" borderId="0" xfId="0" applyFont="1" applyFill="1" applyBorder="1" applyAlignment="1" applyProtection="1"/>
    <xf numFmtId="0" fontId="4" fillId="2" borderId="0" xfId="0" applyFont="1" applyFill="1" applyBorder="1" applyProtection="1"/>
    <xf numFmtId="0" fontId="0" fillId="2" borderId="0" xfId="0" applyFont="1" applyFill="1" applyBorder="1" applyAlignment="1" applyProtection="1">
      <alignment horizontal="center"/>
    </xf>
    <xf numFmtId="0" fontId="16" fillId="2" borderId="0" xfId="0" applyFont="1" applyFill="1" applyBorder="1" applyProtection="1"/>
    <xf numFmtId="0" fontId="0" fillId="6" borderId="0" xfId="0" applyFont="1" applyFill="1" applyBorder="1" applyAlignment="1" applyProtection="1">
      <alignment horizontal="center"/>
    </xf>
    <xf numFmtId="2" fontId="0" fillId="2" borderId="0" xfId="0" applyNumberFormat="1" applyFill="1" applyBorder="1" applyAlignment="1" applyProtection="1">
      <alignment horizontal="center"/>
    </xf>
    <xf numFmtId="2" fontId="0" fillId="6" borderId="0" xfId="0" applyNumberFormat="1" applyFill="1" applyBorder="1" applyAlignment="1" applyProtection="1">
      <alignment horizontal="center"/>
    </xf>
    <xf numFmtId="2" fontId="1" fillId="2" borderId="0" xfId="0" applyNumberFormat="1" applyFont="1" applyFill="1" applyBorder="1" applyAlignment="1" applyProtection="1">
      <alignment horizontal="center"/>
    </xf>
    <xf numFmtId="1" fontId="1" fillId="2" borderId="0" xfId="0" applyNumberFormat="1" applyFont="1" applyFill="1" applyBorder="1" applyAlignment="1" applyProtection="1">
      <alignment horizontal="center"/>
    </xf>
    <xf numFmtId="1" fontId="1" fillId="6" borderId="0" xfId="0" applyNumberFormat="1" applyFont="1" applyFill="1" applyBorder="1" applyAlignment="1" applyProtection="1">
      <alignment horizontal="center"/>
    </xf>
    <xf numFmtId="0" fontId="1" fillId="6" borderId="0" xfId="0" applyFont="1" applyFill="1" applyBorder="1" applyProtection="1"/>
    <xf numFmtId="0" fontId="0" fillId="2" borderId="0" xfId="0" applyFont="1" applyFill="1" applyBorder="1" applyAlignment="1" applyProtection="1">
      <alignment vertical="top" wrapText="1"/>
    </xf>
    <xf numFmtId="14" fontId="0" fillId="0" borderId="0" xfId="0" applyNumberFormat="1" applyBorder="1" applyProtection="1"/>
    <xf numFmtId="165" fontId="7" fillId="2" borderId="0" xfId="1" applyNumberFormat="1" applyFont="1" applyFill="1" applyBorder="1" applyAlignment="1" applyProtection="1">
      <alignment horizontal="left" vertical="center"/>
    </xf>
    <xf numFmtId="165" fontId="7" fillId="6" borderId="0" xfId="1" applyNumberFormat="1" applyFont="1" applyFill="1" applyBorder="1" applyAlignment="1" applyProtection="1">
      <alignment horizontal="left" vertical="center"/>
    </xf>
    <xf numFmtId="164" fontId="0" fillId="0" borderId="0" xfId="0" applyNumberFormat="1" applyBorder="1" applyProtection="1"/>
    <xf numFmtId="0" fontId="1" fillId="2" borderId="3" xfId="0" applyFont="1" applyFill="1" applyBorder="1" applyProtection="1"/>
    <xf numFmtId="0" fontId="0" fillId="2" borderId="3" xfId="0" applyFill="1" applyBorder="1" applyProtection="1"/>
    <xf numFmtId="0" fontId="1" fillId="6" borderId="3" xfId="0" applyFont="1" applyFill="1" applyBorder="1" applyProtection="1"/>
    <xf numFmtId="0" fontId="0" fillId="2" borderId="3" xfId="0" applyFont="1" applyFill="1" applyBorder="1" applyAlignment="1" applyProtection="1">
      <alignment vertical="top" wrapText="1"/>
    </xf>
    <xf numFmtId="0" fontId="1" fillId="5" borderId="0" xfId="0" applyFont="1" applyFill="1" applyBorder="1" applyProtection="1"/>
    <xf numFmtId="0" fontId="0" fillId="2" borderId="0" xfId="0" applyFill="1" applyProtection="1"/>
    <xf numFmtId="0" fontId="0" fillId="0" borderId="0" xfId="0" applyNumberFormat="1" applyBorder="1" applyProtection="1"/>
    <xf numFmtId="0" fontId="0" fillId="0" borderId="0" xfId="0" applyFill="1" applyBorder="1" applyProtection="1"/>
    <xf numFmtId="0" fontId="8" fillId="2" borderId="0" xfId="0" applyFont="1" applyFill="1" applyBorder="1" applyProtection="1"/>
    <xf numFmtId="0" fontId="8" fillId="6" borderId="0" xfId="0" applyFont="1" applyFill="1" applyBorder="1" applyProtection="1"/>
    <xf numFmtId="0" fontId="0" fillId="2" borderId="3" xfId="0" applyFont="1" applyFill="1" applyBorder="1" applyProtection="1"/>
    <xf numFmtId="165" fontId="1" fillId="2" borderId="0" xfId="1" applyNumberFormat="1" applyFont="1" applyFill="1" applyBorder="1" applyProtection="1"/>
    <xf numFmtId="0" fontId="0" fillId="2" borderId="8" xfId="0" applyFont="1" applyFill="1" applyBorder="1" applyProtection="1"/>
    <xf numFmtId="0" fontId="1" fillId="2" borderId="8" xfId="0" applyFont="1" applyFill="1" applyBorder="1" applyProtection="1"/>
    <xf numFmtId="0" fontId="0" fillId="2" borderId="8" xfId="0" applyFill="1" applyBorder="1" applyProtection="1"/>
    <xf numFmtId="0" fontId="5" fillId="6" borderId="0" xfId="0" applyFont="1" applyFill="1" applyBorder="1" applyProtection="1"/>
    <xf numFmtId="0" fontId="5" fillId="2" borderId="0" xfId="0" applyFont="1" applyFill="1" applyBorder="1" applyAlignment="1" applyProtection="1">
      <alignment horizontal="left"/>
    </xf>
    <xf numFmtId="0" fontId="0" fillId="2" borderId="0" xfId="0" applyFont="1" applyFill="1" applyBorder="1" applyAlignment="1" applyProtection="1"/>
    <xf numFmtId="1" fontId="0" fillId="2" borderId="0" xfId="0" applyNumberFormat="1" applyFont="1" applyFill="1" applyBorder="1" applyProtection="1"/>
    <xf numFmtId="0" fontId="8" fillId="2" borderId="0" xfId="0" applyNumberFormat="1" applyFont="1" applyFill="1" applyBorder="1" applyAlignment="1" applyProtection="1">
      <alignment wrapText="1"/>
    </xf>
    <xf numFmtId="165" fontId="0" fillId="2" borderId="0" xfId="0" applyNumberFormat="1" applyFont="1" applyFill="1" applyBorder="1" applyProtection="1"/>
    <xf numFmtId="165" fontId="0" fillId="6" borderId="0" xfId="0" applyNumberFormat="1" applyFont="1" applyFill="1" applyBorder="1" applyProtection="1"/>
    <xf numFmtId="0" fontId="15" fillId="6" borderId="0" xfId="0" applyFont="1" applyFill="1" applyBorder="1" applyProtection="1"/>
    <xf numFmtId="0" fontId="15" fillId="2" borderId="0" xfId="0" applyFont="1" applyFill="1" applyBorder="1" applyProtection="1"/>
    <xf numFmtId="165" fontId="1" fillId="6" borderId="0" xfId="0" applyNumberFormat="1" applyFont="1" applyFill="1" applyBorder="1" applyProtection="1"/>
    <xf numFmtId="0" fontId="1" fillId="2" borderId="0" xfId="0" applyFont="1" applyFill="1" applyBorder="1" applyAlignment="1" applyProtection="1"/>
    <xf numFmtId="1" fontId="1" fillId="2" borderId="5" xfId="0" applyNumberFormat="1" applyFont="1" applyFill="1" applyBorder="1" applyProtection="1"/>
    <xf numFmtId="165" fontId="1" fillId="2" borderId="5" xfId="0" applyNumberFormat="1" applyFont="1" applyFill="1" applyBorder="1" applyProtection="1"/>
    <xf numFmtId="165" fontId="1" fillId="2" borderId="0" xfId="0" applyNumberFormat="1" applyFont="1" applyFill="1" applyBorder="1" applyProtection="1"/>
    <xf numFmtId="165" fontId="0" fillId="0" borderId="0" xfId="0" applyNumberFormat="1" applyBorder="1" applyProtection="1"/>
    <xf numFmtId="0" fontId="11" fillId="6" borderId="0" xfId="0" applyFont="1" applyFill="1" applyBorder="1" applyAlignment="1" applyProtection="1">
      <alignment horizontal="left" vertical="center" wrapText="1"/>
    </xf>
    <xf numFmtId="0" fontId="8" fillId="6" borderId="3" xfId="0" applyFont="1" applyFill="1" applyBorder="1" applyProtection="1"/>
    <xf numFmtId="0" fontId="0" fillId="2" borderId="3" xfId="0" applyFont="1" applyFill="1" applyBorder="1" applyAlignment="1" applyProtection="1">
      <alignment horizontal="justify" vertical="top"/>
    </xf>
    <xf numFmtId="0" fontId="1" fillId="2" borderId="18" xfId="0" applyFont="1" applyFill="1" applyBorder="1" applyProtection="1"/>
    <xf numFmtId="0" fontId="18" fillId="6" borderId="2" xfId="0" applyFont="1" applyFill="1" applyBorder="1" applyProtection="1"/>
    <xf numFmtId="0" fontId="9" fillId="2" borderId="0" xfId="0" applyFont="1" applyFill="1" applyBorder="1" applyProtection="1"/>
    <xf numFmtId="0" fontId="2" fillId="2" borderId="0" xfId="0" applyFont="1" applyFill="1" applyBorder="1" applyProtection="1"/>
    <xf numFmtId="0" fontId="4" fillId="2" borderId="0" xfId="0" applyFont="1" applyFill="1" applyBorder="1" applyAlignment="1" applyProtection="1"/>
    <xf numFmtId="0" fontId="17" fillId="2" borderId="0" xfId="0" applyFont="1" applyFill="1" applyBorder="1" applyAlignment="1" applyProtection="1">
      <alignment horizontal="center" wrapText="1"/>
    </xf>
    <xf numFmtId="0" fontId="0" fillId="2" borderId="14" xfId="0" applyFont="1" applyFill="1" applyBorder="1" applyAlignment="1" applyProtection="1">
      <alignment vertical="top" wrapText="1"/>
    </xf>
    <xf numFmtId="0" fontId="7" fillId="2" borderId="11" xfId="0" applyFont="1" applyFill="1" applyBorder="1" applyAlignment="1" applyProtection="1">
      <alignment vertical="center"/>
    </xf>
    <xf numFmtId="0" fontId="1" fillId="6" borderId="8" xfId="0" applyFont="1" applyFill="1" applyBorder="1" applyProtection="1"/>
    <xf numFmtId="0" fontId="0" fillId="6" borderId="0" xfId="0" applyFont="1" applyFill="1" applyBorder="1" applyAlignment="1" applyProtection="1">
      <alignment vertical="top" wrapText="1"/>
    </xf>
    <xf numFmtId="2" fontId="8" fillId="2" borderId="0" xfId="0" applyNumberFormat="1" applyFont="1" applyFill="1" applyBorder="1" applyProtection="1"/>
    <xf numFmtId="165" fontId="0" fillId="2" borderId="0" xfId="1" applyNumberFormat="1" applyFont="1" applyFill="1" applyBorder="1" applyProtection="1"/>
    <xf numFmtId="0" fontId="7" fillId="2" borderId="0" xfId="0" applyFont="1" applyFill="1" applyBorder="1" applyProtection="1"/>
    <xf numFmtId="1" fontId="0" fillId="4" borderId="4" xfId="0" applyNumberFormat="1" applyFill="1" applyBorder="1" applyAlignment="1" applyProtection="1">
      <alignment horizontal="center"/>
      <protection locked="0"/>
    </xf>
    <xf numFmtId="165" fontId="1" fillId="2" borderId="5" xfId="1" applyNumberFormat="1" applyFont="1" applyFill="1" applyBorder="1" applyProtection="1"/>
    <xf numFmtId="0" fontId="8" fillId="2" borderId="8" xfId="0" applyFont="1" applyFill="1" applyBorder="1" applyProtection="1"/>
    <xf numFmtId="0" fontId="1" fillId="2" borderId="3" xfId="0" applyFont="1" applyFill="1" applyBorder="1" applyAlignment="1" applyProtection="1"/>
    <xf numFmtId="0" fontId="0" fillId="2" borderId="0" xfId="0" applyFont="1" applyFill="1" applyBorder="1" applyAlignment="1" applyProtection="1">
      <alignment vertical="top"/>
    </xf>
    <xf numFmtId="0" fontId="19" fillId="2" borderId="0" xfId="0" applyFont="1" applyFill="1" applyBorder="1" applyAlignment="1" applyProtection="1">
      <alignment vertical="top"/>
    </xf>
    <xf numFmtId="43" fontId="0" fillId="2" borderId="0" xfId="0" applyNumberFormat="1" applyFill="1" applyBorder="1" applyProtection="1"/>
    <xf numFmtId="2" fontId="2" fillId="2" borderId="0" xfId="0" applyNumberFormat="1" applyFont="1" applyFill="1" applyBorder="1" applyAlignment="1" applyProtection="1">
      <alignment horizontal="center"/>
    </xf>
    <xf numFmtId="0" fontId="2" fillId="2" borderId="0" xfId="0" applyFont="1" applyFill="1" applyBorder="1" applyAlignment="1" applyProtection="1">
      <alignment horizontal="left"/>
    </xf>
    <xf numFmtId="165" fontId="8" fillId="0" borderId="0" xfId="0" applyNumberFormat="1" applyFont="1" applyBorder="1" applyProtection="1"/>
    <xf numFmtId="0" fontId="8" fillId="0" borderId="0" xfId="0" applyFont="1" applyBorder="1" applyProtection="1"/>
    <xf numFmtId="10" fontId="8" fillId="0" borderId="0" xfId="2" applyNumberFormat="1" applyFont="1" applyBorder="1" applyProtection="1"/>
    <xf numFmtId="0" fontId="8" fillId="0" borderId="0" xfId="0" applyFont="1" applyFill="1" applyBorder="1" applyProtection="1"/>
    <xf numFmtId="0" fontId="20" fillId="2" borderId="3" xfId="0" applyFont="1" applyFill="1" applyBorder="1" applyAlignment="1" applyProtection="1"/>
    <xf numFmtId="0" fontId="20" fillId="2" borderId="3" xfId="0" applyFont="1" applyFill="1" applyBorder="1" applyAlignment="1" applyProtection="1">
      <alignment horizontal="center"/>
    </xf>
    <xf numFmtId="0" fontId="0" fillId="2" borderId="3" xfId="0" applyFill="1" applyBorder="1" applyAlignment="1" applyProtection="1">
      <alignment horizontal="left"/>
    </xf>
    <xf numFmtId="0" fontId="8" fillId="2" borderId="3" xfId="0" applyFont="1" applyFill="1" applyBorder="1" applyAlignment="1" applyProtection="1">
      <alignment horizontal="left"/>
    </xf>
    <xf numFmtId="0" fontId="0" fillId="2" borderId="0" xfId="0" applyFill="1" applyBorder="1" applyAlignment="1" applyProtection="1">
      <alignment horizontal="left" indent="5"/>
    </xf>
    <xf numFmtId="0" fontId="1" fillId="2" borderId="0" xfId="0" applyFont="1" applyFill="1" applyBorder="1" applyAlignment="1" applyProtection="1">
      <alignment horizontal="left" indent="5"/>
    </xf>
    <xf numFmtId="0" fontId="0" fillId="2" borderId="0" xfId="1" applyNumberFormat="1" applyFont="1" applyFill="1" applyBorder="1" applyAlignment="1" applyProtection="1">
      <alignment horizontal="center"/>
    </xf>
    <xf numFmtId="0" fontId="8" fillId="2" borderId="0" xfId="0" applyFont="1" applyFill="1" applyBorder="1" applyAlignment="1" applyProtection="1">
      <alignment horizontal="center"/>
    </xf>
    <xf numFmtId="0" fontId="0" fillId="2" borderId="8" xfId="0" applyFont="1" applyFill="1" applyBorder="1" applyProtection="1">
      <protection locked="0"/>
    </xf>
    <xf numFmtId="0" fontId="0" fillId="2" borderId="0" xfId="0" applyFill="1" applyAlignment="1" applyProtection="1">
      <alignment horizontal="left" indent="4"/>
    </xf>
    <xf numFmtId="0" fontId="0" fillId="2" borderId="8" xfId="0" applyFill="1" applyBorder="1" applyAlignment="1" applyProtection="1">
      <alignment horizontal="center"/>
    </xf>
    <xf numFmtId="0" fontId="0" fillId="2" borderId="2" xfId="0" applyFont="1" applyFill="1" applyBorder="1" applyAlignment="1" applyProtection="1">
      <alignment vertical="top" wrapText="1"/>
    </xf>
    <xf numFmtId="2" fontId="0" fillId="0" borderId="0" xfId="0" applyNumberFormat="1" applyBorder="1" applyProtection="1"/>
    <xf numFmtId="0" fontId="2" fillId="2" borderId="3" xfId="0" applyFont="1" applyFill="1" applyBorder="1" applyAlignment="1" applyProtection="1">
      <alignment horizontal="left" indent="3"/>
    </xf>
    <xf numFmtId="0" fontId="2" fillId="2" borderId="3" xfId="0" applyFont="1" applyFill="1" applyBorder="1" applyProtection="1"/>
    <xf numFmtId="166" fontId="2" fillId="2" borderId="3" xfId="0" applyNumberFormat="1" applyFont="1" applyFill="1" applyBorder="1" applyAlignment="1" applyProtection="1">
      <alignment horizontal="center"/>
    </xf>
    <xf numFmtId="0" fontId="2" fillId="2" borderId="3" xfId="0" applyFont="1" applyFill="1" applyBorder="1" applyAlignment="1" applyProtection="1">
      <alignment horizontal="left" indent="1"/>
    </xf>
    <xf numFmtId="0" fontId="22" fillId="2" borderId="0" xfId="0" applyFont="1" applyFill="1" applyBorder="1" applyProtection="1"/>
    <xf numFmtId="9" fontId="1" fillId="2" borderId="0" xfId="0" applyNumberFormat="1" applyFont="1" applyFill="1" applyBorder="1" applyAlignment="1" applyProtection="1">
      <alignment horizontal="center"/>
    </xf>
    <xf numFmtId="0" fontId="0" fillId="2" borderId="0" xfId="0" applyFill="1" applyBorder="1" applyAlignment="1" applyProtection="1">
      <alignment horizontal="left" indent="1"/>
    </xf>
    <xf numFmtId="0" fontId="1" fillId="2" borderId="0" xfId="0" applyFont="1" applyFill="1" applyBorder="1" applyAlignment="1" applyProtection="1">
      <alignment horizontal="left" indent="1"/>
    </xf>
    <xf numFmtId="165" fontId="0" fillId="2" borderId="0" xfId="0" applyNumberFormat="1" applyFill="1" applyBorder="1" applyProtection="1">
      <protection locked="0"/>
    </xf>
    <xf numFmtId="0" fontId="1" fillId="2" borderId="11" xfId="0" applyFont="1" applyFill="1" applyBorder="1" applyProtection="1"/>
    <xf numFmtId="0" fontId="1" fillId="0" borderId="0" xfId="0" applyFont="1" applyBorder="1" applyProtection="1"/>
    <xf numFmtId="0" fontId="11" fillId="2" borderId="0" xfId="0" applyFont="1" applyFill="1" applyBorder="1" applyAlignment="1" applyProtection="1">
      <alignment horizontal="left" vertical="center" wrapText="1"/>
    </xf>
    <xf numFmtId="1" fontId="1" fillId="2" borderId="0" xfId="0" applyNumberFormat="1" applyFont="1" applyFill="1" applyBorder="1" applyAlignment="1" applyProtection="1">
      <alignment horizontal="right"/>
    </xf>
    <xf numFmtId="0" fontId="11" fillId="2" borderId="0" xfId="0" applyFont="1" applyFill="1" applyBorder="1" applyAlignment="1" applyProtection="1">
      <alignment vertical="center"/>
    </xf>
    <xf numFmtId="0" fontId="23" fillId="2" borderId="0" xfId="0" applyFont="1" applyFill="1" applyBorder="1" applyAlignment="1" applyProtection="1">
      <alignment horizontal="right" vertical="center"/>
    </xf>
    <xf numFmtId="1" fontId="20" fillId="2" borderId="0" xfId="0" applyNumberFormat="1" applyFont="1" applyFill="1" applyBorder="1" applyAlignment="1" applyProtection="1">
      <alignment horizontal="right"/>
      <protection locked="0"/>
    </xf>
    <xf numFmtId="0" fontId="20" fillId="2" borderId="0" xfId="0" applyFont="1" applyFill="1" applyBorder="1" applyAlignment="1" applyProtection="1">
      <alignment horizontal="right" vertical="center" wrapText="1"/>
      <protection locked="0"/>
    </xf>
    <xf numFmtId="0" fontId="0" fillId="2" borderId="0" xfId="0" applyFont="1" applyFill="1" applyBorder="1" applyAlignment="1" applyProtection="1">
      <alignment horizontal="right"/>
      <protection locked="0"/>
    </xf>
    <xf numFmtId="0" fontId="0" fillId="2" borderId="0" xfId="0" applyFill="1" applyBorder="1" applyAlignment="1" applyProtection="1">
      <alignment horizontal="right"/>
    </xf>
    <xf numFmtId="165" fontId="0" fillId="2" borderId="0" xfId="0" applyNumberFormat="1" applyFill="1" applyBorder="1" applyProtection="1"/>
    <xf numFmtId="0" fontId="11" fillId="2" borderId="11" xfId="0" applyFont="1" applyFill="1" applyBorder="1" applyAlignment="1" applyProtection="1">
      <alignment vertical="center" wrapText="1"/>
    </xf>
    <xf numFmtId="0" fontId="23" fillId="2" borderId="0" xfId="0" applyFont="1" applyFill="1" applyBorder="1" applyAlignment="1" applyProtection="1">
      <alignment vertical="center" wrapText="1"/>
    </xf>
    <xf numFmtId="1" fontId="1" fillId="2" borderId="0" xfId="0" applyNumberFormat="1" applyFont="1" applyFill="1" applyBorder="1" applyAlignment="1" applyProtection="1">
      <alignment horizontal="left"/>
    </xf>
    <xf numFmtId="0" fontId="20" fillId="2" borderId="0" xfId="0" applyFont="1" applyFill="1" applyBorder="1" applyAlignment="1" applyProtection="1">
      <alignment horizontal="right" vertical="center"/>
      <protection locked="0"/>
    </xf>
    <xf numFmtId="0" fontId="0" fillId="2" borderId="0" xfId="0" applyFill="1" applyBorder="1" applyAlignment="1" applyProtection="1">
      <alignment horizontal="justify" vertical="top"/>
    </xf>
    <xf numFmtId="0" fontId="0" fillId="2" borderId="0" xfId="0" applyFill="1" applyBorder="1" applyAlignment="1" applyProtection="1">
      <alignment horizontal="justify" vertical="justify" wrapText="1"/>
    </xf>
    <xf numFmtId="9" fontId="1" fillId="4" borderId="4" xfId="0" applyNumberFormat="1" applyFont="1" applyFill="1" applyBorder="1" applyAlignment="1" applyProtection="1">
      <alignment horizontal="center"/>
      <protection locked="0"/>
    </xf>
    <xf numFmtId="9" fontId="1" fillId="4" borderId="13" xfId="0" applyNumberFormat="1" applyFont="1" applyFill="1" applyBorder="1" applyAlignment="1" applyProtection="1">
      <alignment horizontal="center"/>
      <protection locked="0"/>
    </xf>
    <xf numFmtId="0" fontId="1" fillId="2" borderId="0" xfId="0" applyFont="1" applyFill="1" applyBorder="1" applyAlignment="1" applyProtection="1">
      <alignment horizontal="center"/>
    </xf>
    <xf numFmtId="0" fontId="0" fillId="2" borderId="0" xfId="0" applyFont="1" applyFill="1" applyBorder="1" applyAlignment="1" applyProtection="1">
      <alignment horizontal="justify" vertical="top"/>
    </xf>
    <xf numFmtId="0" fontId="0" fillId="2" borderId="0" xfId="0" applyFont="1" applyFill="1" applyBorder="1" applyProtection="1">
      <protection locked="0"/>
    </xf>
    <xf numFmtId="0" fontId="0" fillId="2" borderId="0" xfId="0" applyFont="1" applyFill="1" applyBorder="1" applyAlignment="1" applyProtection="1">
      <alignment horizontal="justify" vertical="top" wrapText="1"/>
    </xf>
    <xf numFmtId="0" fontId="5" fillId="2" borderId="0" xfId="0" applyFont="1" applyFill="1" applyBorder="1" applyAlignment="1" applyProtection="1">
      <alignment horizontal="center"/>
    </xf>
    <xf numFmtId="0" fontId="1" fillId="2" borderId="0" xfId="0" applyFont="1" applyFill="1" applyBorder="1" applyAlignment="1" applyProtection="1">
      <alignment horizontal="right"/>
    </xf>
    <xf numFmtId="0" fontId="3" fillId="2" borderId="0" xfId="0" applyFont="1" applyFill="1" applyBorder="1" applyAlignment="1" applyProtection="1">
      <alignment horizontal="center"/>
    </xf>
    <xf numFmtId="0" fontId="4" fillId="2" borderId="0" xfId="0" applyFont="1" applyFill="1" applyBorder="1" applyAlignment="1" applyProtection="1">
      <alignment horizontal="center"/>
    </xf>
    <xf numFmtId="0" fontId="0" fillId="2" borderId="0" xfId="0" applyFont="1" applyFill="1" applyBorder="1" applyAlignment="1" applyProtection="1">
      <alignment horizontal="center"/>
      <protection locked="0"/>
    </xf>
    <xf numFmtId="0" fontId="13" fillId="2" borderId="0" xfId="0" applyFont="1" applyFill="1" applyBorder="1" applyAlignment="1" applyProtection="1">
      <alignment horizontal="right" vertical="center"/>
    </xf>
    <xf numFmtId="0" fontId="14" fillId="2" borderId="0" xfId="0" applyFont="1" applyFill="1" applyBorder="1" applyAlignment="1" applyProtection="1">
      <alignment horizontal="center" vertical="center"/>
    </xf>
    <xf numFmtId="14" fontId="0" fillId="0" borderId="0" xfId="0" applyNumberFormat="1"/>
    <xf numFmtId="166" fontId="0" fillId="2" borderId="0" xfId="0" applyNumberFormat="1" applyFill="1" applyBorder="1" applyAlignment="1" applyProtection="1">
      <alignment horizontal="center"/>
    </xf>
    <xf numFmtId="167" fontId="0" fillId="2" borderId="0" xfId="0" applyNumberFormat="1" applyFill="1" applyBorder="1" applyAlignment="1" applyProtection="1">
      <alignment horizontal="center"/>
    </xf>
    <xf numFmtId="169" fontId="0" fillId="2" borderId="0" xfId="0" applyNumberFormat="1" applyFill="1" applyBorder="1" applyProtection="1"/>
    <xf numFmtId="168" fontId="0" fillId="2" borderId="0" xfId="0" applyNumberFormat="1" applyFont="1" applyFill="1" applyBorder="1" applyAlignment="1" applyProtection="1">
      <alignment horizontal="center"/>
    </xf>
    <xf numFmtId="170" fontId="0" fillId="2" borderId="0" xfId="0" applyNumberFormat="1" applyFont="1" applyFill="1" applyBorder="1" applyAlignment="1" applyProtection="1">
      <alignment horizontal="center"/>
    </xf>
    <xf numFmtId="165" fontId="0" fillId="0" borderId="0" xfId="1" applyNumberFormat="1" applyFont="1" applyBorder="1" applyProtection="1"/>
    <xf numFmtId="0" fontId="0" fillId="2" borderId="0" xfId="0" applyFont="1" applyFill="1" applyBorder="1" applyAlignment="1" applyProtection="1">
      <alignment horizontal="justify" wrapText="1"/>
    </xf>
    <xf numFmtId="0" fontId="12" fillId="2" borderId="0" xfId="0" applyFont="1" applyFill="1" applyBorder="1" applyAlignment="1" applyProtection="1">
      <alignment horizontal="center" vertical="center"/>
    </xf>
    <xf numFmtId="0" fontId="0" fillId="2" borderId="0" xfId="0" applyFill="1" applyBorder="1" applyAlignment="1" applyProtection="1">
      <alignment horizontal="justify" vertical="top"/>
    </xf>
    <xf numFmtId="0" fontId="11" fillId="2" borderId="0"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0" fillId="2" borderId="0" xfId="0" applyFill="1" applyBorder="1" applyAlignment="1" applyProtection="1">
      <alignment horizontal="justify" vertical="justify" wrapText="1"/>
    </xf>
    <xf numFmtId="9" fontId="1" fillId="4" borderId="4" xfId="0" applyNumberFormat="1" applyFont="1" applyFill="1" applyBorder="1" applyAlignment="1" applyProtection="1">
      <alignment horizontal="center"/>
      <protection locked="0"/>
    </xf>
    <xf numFmtId="9" fontId="1" fillId="4" borderId="13" xfId="0" applyNumberFormat="1" applyFont="1" applyFill="1" applyBorder="1" applyAlignment="1" applyProtection="1">
      <alignment horizontal="center"/>
      <protection locked="0"/>
    </xf>
    <xf numFmtId="9" fontId="1" fillId="4" borderId="20" xfId="0" applyNumberFormat="1" applyFont="1" applyFill="1" applyBorder="1" applyAlignment="1" applyProtection="1">
      <alignment horizontal="center"/>
      <protection locked="0"/>
    </xf>
    <xf numFmtId="14" fontId="1" fillId="4" borderId="4" xfId="0" applyNumberFormat="1" applyFont="1" applyFill="1" applyBorder="1" applyAlignment="1" applyProtection="1">
      <alignment horizontal="center"/>
      <protection locked="0"/>
    </xf>
    <xf numFmtId="0" fontId="1" fillId="2" borderId="0" xfId="0" applyFont="1" applyFill="1" applyBorder="1" applyAlignment="1" applyProtection="1">
      <alignment horizontal="center"/>
    </xf>
    <xf numFmtId="0" fontId="0" fillId="2" borderId="0" xfId="0" applyFont="1" applyFill="1" applyBorder="1" applyAlignment="1" applyProtection="1">
      <alignment horizontal="justify" vertical="top"/>
    </xf>
    <xf numFmtId="0" fontId="0" fillId="2" borderId="0" xfId="0" applyFont="1" applyFill="1" applyBorder="1" applyAlignment="1" applyProtection="1">
      <protection locked="0"/>
    </xf>
    <xf numFmtId="0" fontId="0" fillId="2" borderId="0" xfId="0" applyNumberFormat="1" applyFont="1" applyFill="1" applyBorder="1" applyAlignment="1" applyProtection="1">
      <alignment horizontal="justify" vertical="top" wrapText="1"/>
    </xf>
    <xf numFmtId="0" fontId="7" fillId="2" borderId="0" xfId="0" applyFont="1" applyFill="1" applyBorder="1" applyAlignment="1" applyProtection="1">
      <alignment horizontal="center" vertical="center"/>
    </xf>
    <xf numFmtId="165" fontId="7" fillId="2" borderId="6" xfId="1" applyNumberFormat="1" applyFont="1" applyFill="1" applyBorder="1" applyAlignment="1" applyProtection="1">
      <alignment horizontal="left" vertical="center"/>
    </xf>
    <xf numFmtId="165" fontId="7" fillId="2" borderId="7" xfId="1" applyNumberFormat="1" applyFont="1" applyFill="1" applyBorder="1" applyAlignment="1" applyProtection="1">
      <alignment horizontal="left" vertical="center"/>
    </xf>
    <xf numFmtId="0" fontId="10" fillId="4" borderId="13" xfId="0" applyFont="1" applyFill="1" applyBorder="1" applyAlignment="1" applyProtection="1">
      <alignment horizontal="center"/>
      <protection locked="0"/>
    </xf>
    <xf numFmtId="0" fontId="10" fillId="4" borderId="20" xfId="0" applyFont="1" applyFill="1" applyBorder="1" applyAlignment="1" applyProtection="1">
      <alignment horizontal="center"/>
      <protection locked="0"/>
    </xf>
    <xf numFmtId="0" fontId="0" fillId="2" borderId="1" xfId="0" applyFill="1" applyBorder="1" applyAlignment="1" applyProtection="1">
      <protection locked="0"/>
    </xf>
    <xf numFmtId="14" fontId="0" fillId="2" borderId="1" xfId="0" applyNumberFormat="1" applyFill="1" applyBorder="1" applyAlignment="1" applyProtection="1">
      <protection locked="0"/>
    </xf>
    <xf numFmtId="0" fontId="0" fillId="2" borderId="15" xfId="0" applyFont="1" applyFill="1" applyBorder="1" applyAlignment="1" applyProtection="1">
      <alignment horizontal="justify" vertical="top" wrapText="1"/>
    </xf>
    <xf numFmtId="0" fontId="0" fillId="2" borderId="0" xfId="0" applyFont="1" applyFill="1" applyBorder="1" applyAlignment="1" applyProtection="1">
      <alignment horizontal="justify" vertical="top" wrapText="1"/>
    </xf>
    <xf numFmtId="0" fontId="5" fillId="2" borderId="0" xfId="0" applyFont="1" applyFill="1" applyBorder="1" applyAlignment="1" applyProtection="1">
      <alignment horizontal="center"/>
    </xf>
    <xf numFmtId="0" fontId="2" fillId="2" borderId="0" xfId="0" applyFont="1" applyFill="1" applyBorder="1" applyAlignment="1" applyProtection="1">
      <alignment horizontal="center" vertical="center" wrapText="1"/>
    </xf>
    <xf numFmtId="0" fontId="2" fillId="2" borderId="0" xfId="0" applyFont="1" applyFill="1" applyBorder="1" applyAlignment="1" applyProtection="1">
      <alignment horizontal="center" wrapText="1"/>
    </xf>
    <xf numFmtId="0" fontId="0" fillId="2" borderId="19" xfId="0" applyFill="1" applyBorder="1" applyAlignment="1" applyProtection="1">
      <alignment horizontal="justify" vertical="top"/>
    </xf>
    <xf numFmtId="0" fontId="0" fillId="2" borderId="3" xfId="0" applyFont="1" applyFill="1" applyBorder="1" applyAlignment="1" applyProtection="1">
      <alignment horizontal="justify" vertical="top" wrapText="1"/>
    </xf>
    <xf numFmtId="0" fontId="1" fillId="2" borderId="0" xfId="0" applyFont="1" applyFill="1" applyBorder="1" applyAlignment="1" applyProtection="1">
      <alignment horizontal="right"/>
    </xf>
    <xf numFmtId="0" fontId="0" fillId="2" borderId="0" xfId="0" applyFont="1" applyFill="1" applyBorder="1" applyAlignment="1" applyProtection="1">
      <alignment horizontal="left" vertical="top" wrapText="1"/>
    </xf>
    <xf numFmtId="0" fontId="0" fillId="2" borderId="3" xfId="0" applyFont="1" applyFill="1" applyBorder="1" applyAlignment="1" applyProtection="1">
      <alignment horizontal="left" vertical="top" wrapText="1"/>
    </xf>
    <xf numFmtId="1" fontId="1" fillId="2" borderId="16" xfId="0" applyNumberFormat="1" applyFont="1" applyFill="1" applyBorder="1" applyAlignment="1" applyProtection="1">
      <alignment horizontal="center"/>
    </xf>
    <xf numFmtId="0" fontId="3" fillId="2" borderId="0" xfId="0" applyFont="1" applyFill="1" applyBorder="1" applyAlignment="1" applyProtection="1">
      <alignment horizontal="center"/>
    </xf>
    <xf numFmtId="0" fontId="1" fillId="2" borderId="0" xfId="0" applyFont="1" applyFill="1" applyBorder="1" applyAlignment="1" applyProtection="1">
      <alignment horizontal="justify" vertical="top" wrapText="1"/>
    </xf>
    <xf numFmtId="0" fontId="4" fillId="2" borderId="0" xfId="0" applyFont="1" applyFill="1" applyBorder="1" applyAlignment="1" applyProtection="1">
      <alignment horizontal="center"/>
    </xf>
    <xf numFmtId="0" fontId="4" fillId="2" borderId="0"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11" fillId="2" borderId="11" xfId="0" applyFont="1" applyFill="1" applyBorder="1" applyAlignment="1" applyProtection="1">
      <alignment horizontal="center" vertical="center" wrapText="1"/>
    </xf>
    <xf numFmtId="0" fontId="2" fillId="2" borderId="0" xfId="0" applyFont="1" applyFill="1" applyBorder="1" applyAlignment="1" applyProtection="1">
      <alignment horizontal="right"/>
    </xf>
    <xf numFmtId="0" fontId="7" fillId="2" borderId="17" xfId="0" applyFont="1" applyFill="1" applyBorder="1" applyAlignment="1" applyProtection="1">
      <alignment horizontal="center" vertical="center"/>
    </xf>
    <xf numFmtId="165" fontId="7" fillId="2" borderId="6" xfId="1" applyNumberFormat="1" applyFont="1" applyFill="1" applyBorder="1" applyAlignment="1" applyProtection="1">
      <alignment horizontal="center" vertical="center"/>
    </xf>
    <xf numFmtId="165" fontId="7" fillId="2" borderId="7" xfId="1" applyNumberFormat="1" applyFont="1" applyFill="1" applyBorder="1" applyAlignment="1" applyProtection="1">
      <alignment horizontal="center" vertical="center"/>
    </xf>
    <xf numFmtId="0" fontId="0" fillId="2" borderId="0" xfId="0" applyFont="1" applyFill="1" applyBorder="1" applyAlignment="1" applyProtection="1">
      <alignment horizontal="center"/>
      <protection locked="0"/>
    </xf>
    <xf numFmtId="14" fontId="1" fillId="4" borderId="13" xfId="0" applyNumberFormat="1" applyFont="1" applyFill="1" applyBorder="1" applyAlignment="1" applyProtection="1">
      <alignment horizontal="center"/>
      <protection locked="0"/>
    </xf>
    <xf numFmtId="14" fontId="1" fillId="4" borderId="20" xfId="0" applyNumberFormat="1" applyFont="1" applyFill="1" applyBorder="1" applyAlignment="1" applyProtection="1">
      <alignment horizontal="center"/>
      <protection locked="0"/>
    </xf>
    <xf numFmtId="14" fontId="0" fillId="2" borderId="1" xfId="0" applyNumberFormat="1" applyFill="1" applyBorder="1" applyAlignment="1" applyProtection="1">
      <alignment horizontal="left"/>
      <protection locked="0"/>
    </xf>
    <xf numFmtId="0" fontId="0" fillId="2" borderId="3" xfId="0" applyFill="1" applyBorder="1" applyAlignment="1" applyProtection="1">
      <alignment horizontal="right"/>
    </xf>
    <xf numFmtId="0" fontId="8" fillId="2" borderId="0" xfId="0" applyFont="1" applyFill="1" applyBorder="1" applyAlignment="1" applyProtection="1">
      <alignment horizontal="center" vertical="center" wrapText="1"/>
    </xf>
    <xf numFmtId="0" fontId="0" fillId="2" borderId="0" xfId="0" applyFill="1" applyBorder="1" applyAlignment="1" applyProtection="1">
      <alignment horizontal="justify" vertical="top" wrapText="1"/>
    </xf>
    <xf numFmtId="2" fontId="1" fillId="4" borderId="13" xfId="0" applyNumberFormat="1" applyFont="1" applyFill="1" applyBorder="1" applyAlignment="1" applyProtection="1">
      <alignment horizontal="center"/>
      <protection locked="0"/>
    </xf>
    <xf numFmtId="2" fontId="1" fillId="4" borderId="20" xfId="0" applyNumberFormat="1" applyFont="1" applyFill="1" applyBorder="1" applyAlignment="1" applyProtection="1">
      <alignment horizontal="center"/>
      <protection locked="0"/>
    </xf>
    <xf numFmtId="0" fontId="1" fillId="2" borderId="11" xfId="0" applyFont="1" applyFill="1" applyBorder="1" applyAlignment="1" applyProtection="1">
      <alignment horizontal="center"/>
    </xf>
    <xf numFmtId="0" fontId="1" fillId="6" borderId="0" xfId="0" applyFont="1" applyFill="1" applyBorder="1" applyAlignment="1" applyProtection="1">
      <alignment horizontal="justify" vertical="top" wrapText="1"/>
    </xf>
    <xf numFmtId="0" fontId="13" fillId="2" borderId="0" xfId="0" applyFont="1" applyFill="1" applyBorder="1" applyAlignment="1" applyProtection="1">
      <alignment horizontal="right" vertical="center"/>
    </xf>
    <xf numFmtId="166" fontId="7" fillId="4" borderId="6" xfId="1" applyNumberFormat="1" applyFont="1" applyFill="1" applyBorder="1" applyAlignment="1" applyProtection="1">
      <alignment horizontal="center" vertical="center"/>
      <protection locked="0"/>
    </xf>
    <xf numFmtId="166" fontId="7" fillId="4" borderId="7" xfId="1" applyNumberFormat="1"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21" fillId="2" borderId="0" xfId="0" applyFont="1" applyFill="1" applyBorder="1" applyAlignment="1" applyProtection="1">
      <alignment horizontal="center" vertical="center" wrapText="1"/>
    </xf>
    <xf numFmtId="0" fontId="10" fillId="4" borderId="4" xfId="0" applyFont="1" applyFill="1" applyBorder="1" applyAlignment="1" applyProtection="1">
      <alignment horizontal="center"/>
      <protection locked="0"/>
    </xf>
  </cellXfs>
  <cellStyles count="3">
    <cellStyle name="Komma" xfId="1" builtinId="3"/>
    <cellStyle name="Procent" xfId="2" builtinId="5"/>
    <cellStyle name="Standaard" xfId="0" builtinId="0"/>
  </cellStyles>
  <dxfs count="119">
    <dxf>
      <font>
        <color rgb="FFFF0000"/>
      </font>
    </dxf>
    <dxf>
      <font>
        <color rgb="FFFF0000"/>
      </font>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bottom style="thin">
          <color auto="1"/>
        </bottom>
        <vertical/>
        <horizontal/>
      </border>
    </dxf>
    <dxf>
      <border>
        <top style="thin">
          <color auto="1"/>
        </top>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ont>
        <color rgb="FFFF0000"/>
      </font>
    </dxf>
    <dxf>
      <font>
        <color rgb="FFFF0000"/>
      </font>
    </dxf>
    <dxf>
      <fill>
        <patternFill patternType="none">
          <bgColor auto="1"/>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bottom style="thin">
          <color auto="1"/>
        </bottom>
        <vertical/>
        <horizontal/>
      </border>
    </dxf>
    <dxf>
      <border>
        <top style="thin">
          <color auto="1"/>
        </top>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ont>
        <color rgb="FFFF0000"/>
      </font>
    </dxf>
    <dxf>
      <font>
        <color rgb="FFFF0000"/>
      </font>
    </dxf>
    <dxf>
      <font>
        <color rgb="FFFF0000"/>
      </font>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0"/>
        </patternFill>
      </fill>
      <border>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ont>
        <color rgb="FFFF0000"/>
      </font>
    </dxf>
    <dxf>
      <font>
        <color rgb="FFFF0000"/>
      </font>
    </dxf>
    <dxf>
      <border>
        <left style="thin">
          <color auto="1"/>
        </left>
        <right style="thin">
          <color auto="1"/>
        </right>
        <top style="thin">
          <color auto="1"/>
        </top>
        <bottom style="thin">
          <color auto="1"/>
        </bottom>
        <vertical/>
        <horizontal/>
      </border>
    </dxf>
    <dxf>
      <border>
        <bottom style="thin">
          <color auto="1"/>
        </bottom>
        <vertical/>
        <horizontal/>
      </border>
    </dxf>
    <dxf>
      <border>
        <top style="thin">
          <color auto="1"/>
        </top>
        <vertical/>
        <horizontal/>
      </border>
    </dxf>
    <dxf>
      <font>
        <color auto="1"/>
      </font>
    </dxf>
    <dxf>
      <font>
        <color auto="1"/>
      </font>
    </dxf>
    <dxf>
      <fill>
        <patternFill patternType="none">
          <bgColor auto="1"/>
        </patternFill>
      </fill>
      <border>
        <left/>
        <right style="thin">
          <color auto="1"/>
        </right>
        <top/>
        <bottom/>
        <vertical/>
        <horizontal/>
      </border>
    </dxf>
    <dxf>
      <border>
        <left style="thin">
          <color auto="1"/>
        </left>
        <right style="thin">
          <color auto="1"/>
        </right>
        <top style="thin">
          <color auto="1"/>
        </top>
        <bottom style="thin">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ont>
        <color rgb="FFFF0000"/>
      </font>
    </dxf>
    <dxf>
      <font>
        <color rgb="FFFF0000"/>
      </font>
    </dxf>
    <dxf>
      <font>
        <color rgb="FFFF0000"/>
      </font>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0"/>
        </patternFill>
      </fill>
      <border>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ont>
        <color rgb="FFFF0000"/>
      </font>
    </dxf>
    <dxf>
      <font>
        <color rgb="FFFF0000"/>
      </font>
    </dxf>
    <dxf>
      <border>
        <left style="thin">
          <color auto="1"/>
        </left>
        <right style="thin">
          <color auto="1"/>
        </right>
        <top style="thin">
          <color auto="1"/>
        </top>
        <bottom style="thin">
          <color auto="1"/>
        </bottom>
        <vertical/>
        <horizontal/>
      </border>
    </dxf>
    <dxf>
      <border>
        <bottom style="thin">
          <color auto="1"/>
        </bottom>
        <vertical/>
        <horizontal/>
      </border>
    </dxf>
    <dxf>
      <border>
        <top style="thin">
          <color auto="1"/>
        </top>
        <vertical/>
        <horizontal/>
      </border>
    </dxf>
    <dxf>
      <font>
        <color auto="1"/>
      </font>
    </dxf>
    <dxf>
      <font>
        <color auto="1"/>
      </font>
    </dxf>
    <dxf>
      <fill>
        <patternFill patternType="none">
          <bgColor auto="1"/>
        </patternFill>
      </fill>
      <border>
        <left/>
        <right style="thin">
          <color auto="1"/>
        </right>
        <top/>
        <bottom/>
        <vertical/>
        <horizontal/>
      </border>
    </dxf>
    <dxf>
      <border>
        <left style="thin">
          <color auto="1"/>
        </left>
        <right style="thin">
          <color auto="1"/>
        </right>
        <top style="thin">
          <color auto="1"/>
        </top>
        <bottom style="thin">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ont>
        <color rgb="FFFF0000"/>
      </font>
    </dxf>
    <dxf>
      <font>
        <color rgb="FFFF0000"/>
      </font>
    </dxf>
    <dxf>
      <font>
        <color rgb="FFFF0000"/>
      </font>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0"/>
        </patternFill>
      </fill>
      <border>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border>
        <bottom style="thin">
          <color auto="1"/>
        </bottom>
        <vertical/>
        <horizontal/>
      </border>
    </dxf>
    <dxf>
      <font>
        <color rgb="FFFF0000"/>
      </font>
    </dxf>
    <dxf>
      <font>
        <color rgb="FFFF0000"/>
      </font>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top style="thin">
          <color auto="1"/>
        </top>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border>
        <top style="thin">
          <color auto="1"/>
        </top>
        <vertical/>
        <horizontal/>
      </border>
    </dxf>
    <dxf>
      <border>
        <bottom style="thin">
          <color auto="1"/>
        </bottom>
        <vertical/>
        <horizontal/>
      </border>
    </dxf>
    <dxf>
      <fill>
        <patternFill patternType="none">
          <bgColor auto="1"/>
        </patternFill>
      </fill>
      <border>
        <left/>
        <right style="thin">
          <color auto="1"/>
        </right>
        <top/>
        <bottom/>
        <vertical/>
        <horizontal/>
      </border>
    </dxf>
    <dxf>
      <border>
        <left style="thin">
          <color auto="1"/>
        </left>
        <right style="thin">
          <color auto="1"/>
        </right>
        <top style="thin">
          <color auto="1"/>
        </top>
        <bottom style="thin">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0"/>
        </patternFill>
      </fill>
      <border>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
      <font>
        <color rgb="FFFF0000"/>
      </font>
    </dxf>
    <dxf>
      <fill>
        <patternFill>
          <bgColor theme="4" tint="0.59996337778862885"/>
        </patternFill>
      </fill>
      <border>
        <left style="hair">
          <color auto="1"/>
        </left>
        <right style="hair">
          <color auto="1"/>
        </right>
        <top style="hair">
          <color auto="1"/>
        </top>
        <bottom style="hair">
          <color auto="1"/>
        </bottom>
        <vertical/>
        <horizontal/>
      </border>
    </dxf>
    <dxf>
      <fill>
        <patternFill>
          <bgColor theme="4" tint="0.59996337778862885"/>
        </patternFill>
      </fill>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C20000"/>
      <color rgb="FF9A9B9D"/>
      <color rgb="FF9393FF"/>
      <color rgb="FFFFABAB"/>
      <color rgb="FF00008F"/>
      <color rgb="FFCDC5FB"/>
      <color rgb="FFB3B3FF"/>
      <color rgb="FFFF5D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923925</xdr:colOff>
      <xdr:row>0</xdr:row>
      <xdr:rowOff>0</xdr:rowOff>
    </xdr:from>
    <xdr:to>
      <xdr:col>8</xdr:col>
      <xdr:colOff>179680</xdr:colOff>
      <xdr:row>3</xdr:row>
      <xdr:rowOff>74149</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4800600" y="0"/>
          <a:ext cx="2119605" cy="626599"/>
        </a:xfrm>
        <a:prstGeom prst="rect">
          <a:avLst/>
        </a:prstGeom>
      </xdr:spPr>
    </xdr:pic>
    <xdr:clientData/>
  </xdr:twoCellAnchor>
  <xdr:twoCellAnchor editAs="oneCell">
    <xdr:from>
      <xdr:col>2</xdr:col>
      <xdr:colOff>819150</xdr:colOff>
      <xdr:row>157</xdr:row>
      <xdr:rowOff>19050</xdr:rowOff>
    </xdr:from>
    <xdr:to>
      <xdr:col>5</xdr:col>
      <xdr:colOff>368300</xdr:colOff>
      <xdr:row>159</xdr:row>
      <xdr:rowOff>0</xdr:rowOff>
    </xdr:to>
    <xdr:sp macro="" textlink="">
      <xdr:nvSpPr>
        <xdr:cNvPr id="18433" name="CommandButton1" hidden="1">
          <a:extLst>
            <a:ext uri="{63B3BB69-23CF-44E3-9099-C40C66FF867C}">
              <a14:compatExt xmlns:a14="http://schemas.microsoft.com/office/drawing/2010/main"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219075</xdr:colOff>
      <xdr:row>100</xdr:row>
      <xdr:rowOff>123825</xdr:rowOff>
    </xdr:from>
    <xdr:to>
      <xdr:col>5</xdr:col>
      <xdr:colOff>619125</xdr:colOff>
      <xdr:row>102</xdr:row>
      <xdr:rowOff>85725</xdr:rowOff>
    </xdr:to>
    <xdr:sp macro="" textlink="">
      <xdr:nvSpPr>
        <xdr:cNvPr id="3073" name="CommandButton1" hidden="1">
          <a:extLst>
            <a:ext uri="{63B3BB69-23CF-44E3-9099-C40C66FF867C}">
              <a14:compatExt xmlns:a14="http://schemas.microsoft.com/office/drawing/2010/main"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266700</xdr:colOff>
      <xdr:row>0</xdr:row>
      <xdr:rowOff>19050</xdr:rowOff>
    </xdr:from>
    <xdr:to>
      <xdr:col>7</xdr:col>
      <xdr:colOff>411455</xdr:colOff>
      <xdr:row>1</xdr:row>
      <xdr:rowOff>162748</xdr:rowOff>
    </xdr:to>
    <xdr:pic>
      <xdr:nvPicPr>
        <xdr:cNvPr id="3" name="Afbeelding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4829175" y="19050"/>
          <a:ext cx="2043405" cy="6040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219075</xdr:colOff>
      <xdr:row>100</xdr:row>
      <xdr:rowOff>123825</xdr:rowOff>
    </xdr:from>
    <xdr:to>
      <xdr:col>5</xdr:col>
      <xdr:colOff>628650</xdr:colOff>
      <xdr:row>102</xdr:row>
      <xdr:rowOff>82550</xdr:rowOff>
    </xdr:to>
    <xdr:sp macro="" textlink="">
      <xdr:nvSpPr>
        <xdr:cNvPr id="14337" name="CommandButton1" hidden="1">
          <a:extLst>
            <a:ext uri="{63B3BB69-23CF-44E3-9099-C40C66FF867C}">
              <a14:compatExt xmlns:a14="http://schemas.microsoft.com/office/drawing/2010/main"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266700</xdr:colOff>
      <xdr:row>0</xdr:row>
      <xdr:rowOff>19050</xdr:rowOff>
    </xdr:from>
    <xdr:to>
      <xdr:col>7</xdr:col>
      <xdr:colOff>408280</xdr:colOff>
      <xdr:row>3</xdr:row>
      <xdr:rowOff>67498</xdr:rowOff>
    </xdr:to>
    <xdr:pic>
      <xdr:nvPicPr>
        <xdr:cNvPr id="3" name="Afbeelding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4829175" y="19050"/>
          <a:ext cx="2043405" cy="6040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228600</xdr:colOff>
      <xdr:row>76</xdr:row>
      <xdr:rowOff>0</xdr:rowOff>
    </xdr:from>
    <xdr:to>
      <xdr:col>5</xdr:col>
      <xdr:colOff>6350</xdr:colOff>
      <xdr:row>77</xdr:row>
      <xdr:rowOff>133350</xdr:rowOff>
    </xdr:to>
    <xdr:sp macro="" textlink="">
      <xdr:nvSpPr>
        <xdr:cNvPr id="10241" name="CommandButton1" hidden="1">
          <a:extLst>
            <a:ext uri="{63B3BB69-23CF-44E3-9099-C40C66FF867C}">
              <a14:compatExt xmlns:a14="http://schemas.microsoft.com/office/drawing/2010/main"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47625</xdr:colOff>
      <xdr:row>0</xdr:row>
      <xdr:rowOff>38100</xdr:rowOff>
    </xdr:from>
    <xdr:to>
      <xdr:col>7</xdr:col>
      <xdr:colOff>179680</xdr:colOff>
      <xdr:row>3</xdr:row>
      <xdr:rowOff>86548</xdr:rowOff>
    </xdr:to>
    <xdr:pic>
      <xdr:nvPicPr>
        <xdr:cNvPr id="3" name="Afbeelding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4648200" y="38100"/>
          <a:ext cx="2043405" cy="6040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66675</xdr:colOff>
      <xdr:row>132</xdr:row>
      <xdr:rowOff>38100</xdr:rowOff>
    </xdr:from>
    <xdr:to>
      <xdr:col>4</xdr:col>
      <xdr:colOff>514350</xdr:colOff>
      <xdr:row>133</xdr:row>
      <xdr:rowOff>133350</xdr:rowOff>
    </xdr:to>
    <xdr:sp macro="" textlink="">
      <xdr:nvSpPr>
        <xdr:cNvPr id="19457" name="CommandButton1" hidden="1">
          <a:extLst>
            <a:ext uri="{63B3BB69-23CF-44E3-9099-C40C66FF867C}">
              <a14:compatExt xmlns:a14="http://schemas.microsoft.com/office/drawing/2010/main"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609600</xdr:colOff>
      <xdr:row>0</xdr:row>
      <xdr:rowOff>57150</xdr:rowOff>
    </xdr:from>
    <xdr:to>
      <xdr:col>8</xdr:col>
      <xdr:colOff>351130</xdr:colOff>
      <xdr:row>3</xdr:row>
      <xdr:rowOff>105598</xdr:rowOff>
    </xdr:to>
    <xdr:pic>
      <xdr:nvPicPr>
        <xdr:cNvPr id="3" name="Afbeelding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5038725" y="57150"/>
          <a:ext cx="2043405" cy="6040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628650</xdr:colOff>
      <xdr:row>83</xdr:row>
      <xdr:rowOff>28575</xdr:rowOff>
    </xdr:from>
    <xdr:to>
      <xdr:col>5</xdr:col>
      <xdr:colOff>381000</xdr:colOff>
      <xdr:row>84</xdr:row>
      <xdr:rowOff>142875</xdr:rowOff>
    </xdr:to>
    <xdr:sp macro="" textlink="">
      <xdr:nvSpPr>
        <xdr:cNvPr id="17409" name="CommandButton1" hidden="1">
          <a:extLst>
            <a:ext uri="{63B3BB69-23CF-44E3-9099-C40C66FF867C}">
              <a14:compatExt xmlns:a14="http://schemas.microsoft.com/office/drawing/2010/main" spid="_x0000_s17409"/>
            </a:ext>
            <a:ext uri="{FF2B5EF4-FFF2-40B4-BE49-F238E27FC236}">
              <a16:creationId xmlns:a16="http://schemas.microsoft.com/office/drawing/2014/main" id="{00000000-0008-0000-0500-0000014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942975</xdr:colOff>
      <xdr:row>0</xdr:row>
      <xdr:rowOff>9525</xdr:rowOff>
    </xdr:from>
    <xdr:to>
      <xdr:col>7</xdr:col>
      <xdr:colOff>198730</xdr:colOff>
      <xdr:row>3</xdr:row>
      <xdr:rowOff>67498</xdr:rowOff>
    </xdr:to>
    <xdr:pic>
      <xdr:nvPicPr>
        <xdr:cNvPr id="3" name="Afbeelding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4419600" y="9525"/>
          <a:ext cx="2043405" cy="604073"/>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8"/>
  <dimension ref="A1:V161"/>
  <sheetViews>
    <sheetView tabSelected="1" zoomScaleNormal="100" workbookViewId="0">
      <selection activeCell="C30" sqref="C30:D30"/>
    </sheetView>
  </sheetViews>
  <sheetFormatPr defaultColWidth="0" defaultRowHeight="0" customHeight="1" zeroHeight="1" x14ac:dyDescent="0.25"/>
  <cols>
    <col min="1" max="1" width="12.1796875" style="12" customWidth="1"/>
    <col min="2" max="3" width="14.1796875" style="12" customWidth="1"/>
    <col min="4" max="4" width="13.81640625" style="12" customWidth="1"/>
    <col min="5" max="5" width="3.453125" style="12" customWidth="1"/>
    <col min="6" max="7" width="14.1796875" style="12" customWidth="1"/>
    <col min="8" max="8" width="14.453125" style="12" customWidth="1"/>
    <col min="9" max="9" width="2.81640625" style="9" customWidth="1"/>
    <col min="10" max="10" width="2" style="21" customWidth="1"/>
    <col min="11" max="15" width="13.81640625" style="11" customWidth="1"/>
    <col min="16" max="17" width="13.81640625" style="9" hidden="1" customWidth="1"/>
    <col min="18" max="18" width="10.1796875" style="12" hidden="1" customWidth="1"/>
    <col min="19" max="19" width="9.453125" style="12" hidden="1" customWidth="1"/>
    <col min="20" max="20" width="10.453125" style="12" hidden="1" customWidth="1"/>
    <col min="21" max="21" width="9.1796875" style="12" hidden="1" customWidth="1"/>
    <col min="22" max="22" width="9.453125" style="12" hidden="1" customWidth="1"/>
    <col min="23" max="16384" width="9.1796875" style="12" hidden="1"/>
  </cols>
  <sheetData>
    <row r="1" spans="1:21" ht="12.5" x14ac:dyDescent="0.25">
      <c r="A1" s="100" t="s">
        <v>128</v>
      </c>
      <c r="B1" s="9"/>
      <c r="C1" s="9"/>
      <c r="D1" s="9"/>
      <c r="E1" s="9"/>
      <c r="F1" s="9"/>
      <c r="G1" s="9"/>
      <c r="H1" s="9"/>
      <c r="K1" s="21"/>
      <c r="L1" s="21"/>
      <c r="M1" s="21"/>
      <c r="N1" s="21"/>
      <c r="O1" s="21"/>
    </row>
    <row r="2" spans="1:21" ht="17.5" x14ac:dyDescent="0.35">
      <c r="A2" s="25" t="s">
        <v>0</v>
      </c>
      <c r="B2" s="9"/>
      <c r="C2" s="9"/>
      <c r="D2" s="184"/>
      <c r="E2" s="185"/>
      <c r="F2" s="9"/>
      <c r="G2" s="9"/>
      <c r="H2" s="9"/>
      <c r="K2" s="21"/>
      <c r="L2" s="21"/>
      <c r="M2" s="21"/>
      <c r="N2" s="21"/>
      <c r="O2" s="21"/>
      <c r="U2" s="26"/>
    </row>
    <row r="3" spans="1:21" ht="12.5" x14ac:dyDescent="0.25">
      <c r="A3" s="9"/>
      <c r="B3" s="9"/>
      <c r="C3" s="9"/>
      <c r="D3" s="9"/>
      <c r="E3" s="9"/>
      <c r="F3" s="9"/>
      <c r="G3" s="9"/>
      <c r="H3" s="9"/>
      <c r="K3" s="21"/>
      <c r="L3" s="21"/>
      <c r="M3" s="21"/>
      <c r="N3" s="21"/>
      <c r="O3" s="21"/>
    </row>
    <row r="4" spans="1:21" ht="12.5" x14ac:dyDescent="0.25">
      <c r="A4" s="27" t="s">
        <v>1</v>
      </c>
      <c r="B4" s="9"/>
      <c r="C4" s="9"/>
      <c r="D4" s="9"/>
      <c r="E4" s="9"/>
      <c r="F4" s="27" t="s">
        <v>2</v>
      </c>
      <c r="G4" s="9"/>
      <c r="H4" s="9"/>
      <c r="K4" s="21"/>
      <c r="L4" s="21"/>
      <c r="M4" s="21"/>
      <c r="N4" s="21"/>
      <c r="O4" s="21"/>
    </row>
    <row r="5" spans="1:21" ht="12.5" x14ac:dyDescent="0.25">
      <c r="A5" s="9" t="s">
        <v>3</v>
      </c>
      <c r="B5" s="186"/>
      <c r="C5" s="186"/>
      <c r="D5" s="186"/>
      <c r="E5" s="9"/>
      <c r="F5" s="9" t="s">
        <v>4</v>
      </c>
      <c r="G5" s="186"/>
      <c r="H5" s="186"/>
      <c r="K5" s="21"/>
      <c r="L5" s="21"/>
      <c r="M5" s="21"/>
      <c r="N5" s="21"/>
      <c r="O5" s="21"/>
    </row>
    <row r="6" spans="1:21" ht="12.5" x14ac:dyDescent="0.25">
      <c r="A6" s="9" t="s">
        <v>5</v>
      </c>
      <c r="B6" s="186"/>
      <c r="C6" s="186"/>
      <c r="D6" s="186"/>
      <c r="E6" s="9"/>
      <c r="F6" s="9" t="s">
        <v>6</v>
      </c>
      <c r="G6" s="186"/>
      <c r="H6" s="186"/>
      <c r="K6" s="21"/>
      <c r="L6" s="21"/>
      <c r="M6" s="21"/>
      <c r="N6" s="21"/>
      <c r="O6" s="21"/>
    </row>
    <row r="7" spans="1:21" ht="12.5" x14ac:dyDescent="0.25">
      <c r="A7" s="9" t="s">
        <v>7</v>
      </c>
      <c r="B7" s="187"/>
      <c r="C7" s="186"/>
      <c r="D7" s="186"/>
      <c r="E7" s="9"/>
      <c r="F7" s="9"/>
      <c r="G7" s="9"/>
      <c r="H7" s="9"/>
      <c r="K7" s="21"/>
      <c r="L7" s="21"/>
      <c r="M7" s="21"/>
      <c r="N7" s="21"/>
      <c r="O7" s="21"/>
      <c r="U7" s="13"/>
    </row>
    <row r="8" spans="1:21" ht="12.5" x14ac:dyDescent="0.25">
      <c r="A8" s="9"/>
      <c r="B8" s="28"/>
      <c r="C8" s="9"/>
      <c r="D8" s="9"/>
      <c r="E8" s="9"/>
      <c r="F8" s="9"/>
      <c r="G8" s="9"/>
      <c r="H8" s="9"/>
      <c r="K8" s="21"/>
      <c r="L8" s="21"/>
      <c r="M8" s="21"/>
      <c r="N8" s="21"/>
      <c r="O8" s="21"/>
      <c r="U8" s="13"/>
    </row>
    <row r="9" spans="1:21" ht="12.5" x14ac:dyDescent="0.25">
      <c r="A9" s="29" t="s">
        <v>8</v>
      </c>
      <c r="B9" s="13"/>
      <c r="C9" s="4"/>
      <c r="D9" s="29" t="s">
        <v>9</v>
      </c>
      <c r="E9" s="29"/>
      <c r="F9" s="9"/>
      <c r="G9" s="147"/>
      <c r="H9" s="9"/>
      <c r="K9" s="21"/>
      <c r="L9" s="21"/>
      <c r="M9" s="21"/>
      <c r="N9" s="21"/>
      <c r="O9" s="21"/>
      <c r="U9" s="13"/>
    </row>
    <row r="10" spans="1:21" ht="13" thickBot="1" x14ac:dyDescent="0.3">
      <c r="A10" s="30"/>
      <c r="B10" s="30"/>
      <c r="C10" s="30"/>
      <c r="D10" s="30"/>
      <c r="E10" s="30"/>
      <c r="F10" s="30"/>
      <c r="G10" s="30"/>
      <c r="H10" s="30"/>
      <c r="I10" s="30"/>
      <c r="J10" s="31"/>
      <c r="K10" s="83" t="s">
        <v>10</v>
      </c>
      <c r="L10" s="31"/>
      <c r="M10" s="31"/>
      <c r="N10" s="31"/>
      <c r="O10" s="31"/>
      <c r="S10" s="120"/>
    </row>
    <row r="11" spans="1:21" ht="12.75" customHeight="1" x14ac:dyDescent="0.25">
      <c r="A11" s="9"/>
      <c r="B11" s="9"/>
      <c r="C11" s="9"/>
      <c r="D11" s="9"/>
      <c r="E11" s="9"/>
      <c r="F11" s="9"/>
      <c r="G11" s="9"/>
      <c r="H11" s="9"/>
      <c r="K11" s="188" t="s">
        <v>11</v>
      </c>
      <c r="L11" s="188"/>
      <c r="M11" s="188"/>
      <c r="N11" s="188"/>
      <c r="O11" s="188"/>
      <c r="P11" s="32"/>
      <c r="Q11" s="32"/>
    </row>
    <row r="12" spans="1:21" ht="12.5" x14ac:dyDescent="0.25">
      <c r="A12" s="13"/>
      <c r="B12" s="33"/>
      <c r="C12" s="190" t="s">
        <v>12</v>
      </c>
      <c r="D12" s="190"/>
      <c r="E12" s="153"/>
      <c r="F12" s="9"/>
      <c r="G12" s="9"/>
      <c r="H12" s="163"/>
      <c r="K12" s="189"/>
      <c r="L12" s="189"/>
      <c r="M12" s="189"/>
      <c r="N12" s="189"/>
      <c r="O12" s="189"/>
      <c r="P12" s="32"/>
      <c r="Q12" s="32"/>
    </row>
    <row r="13" spans="1:21" ht="12.75" customHeight="1" x14ac:dyDescent="0.25">
      <c r="A13" s="13"/>
      <c r="B13" s="34"/>
      <c r="C13" s="35" t="s">
        <v>13</v>
      </c>
      <c r="D13" s="35" t="s">
        <v>14</v>
      </c>
      <c r="E13" s="35"/>
      <c r="F13" s="36" t="e">
        <f>40/(940/C9)</f>
        <v>#DIV/0!</v>
      </c>
      <c r="G13" s="165"/>
      <c r="H13" s="164"/>
      <c r="I13" s="35"/>
      <c r="J13" s="37"/>
      <c r="K13" s="189"/>
      <c r="L13" s="189"/>
      <c r="M13" s="189"/>
      <c r="N13" s="189"/>
      <c r="O13" s="189"/>
      <c r="P13" s="32"/>
      <c r="Q13" s="32"/>
    </row>
    <row r="14" spans="1:21" ht="12.75" customHeight="1" x14ac:dyDescent="0.25">
      <c r="A14" s="13"/>
      <c r="B14" s="9" t="s">
        <v>15</v>
      </c>
      <c r="C14" s="1"/>
      <c r="D14" s="2"/>
      <c r="E14" s="35"/>
      <c r="F14" s="9"/>
      <c r="G14" s="38"/>
      <c r="H14" s="162"/>
      <c r="I14" s="38"/>
      <c r="J14" s="39"/>
      <c r="K14" s="189"/>
      <c r="L14" s="189"/>
      <c r="M14" s="189"/>
      <c r="N14" s="189"/>
      <c r="O14" s="189"/>
      <c r="P14" s="32"/>
      <c r="Q14" s="32"/>
    </row>
    <row r="15" spans="1:21" ht="12.5" x14ac:dyDescent="0.25">
      <c r="A15" s="13"/>
      <c r="B15" s="9" t="s">
        <v>16</v>
      </c>
      <c r="C15" s="1"/>
      <c r="D15" s="2"/>
      <c r="E15" s="35"/>
      <c r="F15" s="9"/>
      <c r="G15" s="38"/>
      <c r="H15" s="38"/>
      <c r="I15" s="38"/>
      <c r="J15" s="39"/>
      <c r="K15" s="189"/>
      <c r="L15" s="189"/>
      <c r="M15" s="189"/>
      <c r="N15" s="189"/>
      <c r="O15" s="189"/>
      <c r="P15" s="32"/>
      <c r="Q15" s="32"/>
    </row>
    <row r="16" spans="1:21" ht="12.75" customHeight="1" x14ac:dyDescent="0.25">
      <c r="A16" s="13"/>
      <c r="B16" s="9" t="s">
        <v>17</v>
      </c>
      <c r="C16" s="1"/>
      <c r="D16" s="2"/>
      <c r="E16" s="35"/>
      <c r="F16" s="9"/>
      <c r="G16" s="38"/>
      <c r="H16" s="162"/>
      <c r="I16" s="38"/>
      <c r="J16" s="39"/>
      <c r="K16" s="189" t="s">
        <v>18</v>
      </c>
      <c r="L16" s="189"/>
      <c r="M16" s="189"/>
      <c r="N16" s="189"/>
      <c r="O16" s="189"/>
      <c r="P16" s="32"/>
      <c r="Q16" s="32"/>
    </row>
    <row r="17" spans="1:22" ht="12.75" customHeight="1" x14ac:dyDescent="0.25">
      <c r="A17" s="13"/>
      <c r="B17" s="9" t="s">
        <v>19</v>
      </c>
      <c r="C17" s="1"/>
      <c r="D17" s="2"/>
      <c r="E17" s="35"/>
      <c r="F17" s="9"/>
      <c r="G17" s="161"/>
      <c r="H17" s="161"/>
      <c r="I17" s="38"/>
      <c r="J17" s="39"/>
      <c r="K17" s="189"/>
      <c r="L17" s="189"/>
      <c r="M17" s="189"/>
      <c r="N17" s="189"/>
      <c r="O17" s="189"/>
      <c r="P17" s="32"/>
      <c r="Q17" s="32"/>
    </row>
    <row r="18" spans="1:22" ht="12.75" customHeight="1" x14ac:dyDescent="0.25">
      <c r="A18" s="13"/>
      <c r="B18" s="9" t="s">
        <v>20</v>
      </c>
      <c r="C18" s="1"/>
      <c r="D18" s="2"/>
      <c r="E18" s="35"/>
      <c r="F18" s="9"/>
      <c r="G18" s="38"/>
      <c r="H18" s="161"/>
      <c r="I18" s="38"/>
      <c r="J18" s="39"/>
      <c r="K18" s="189"/>
      <c r="L18" s="189"/>
      <c r="M18" s="189"/>
      <c r="N18" s="189"/>
      <c r="O18" s="189"/>
      <c r="P18" s="32"/>
      <c r="Q18" s="32"/>
    </row>
    <row r="19" spans="1:22" ht="12.5" x14ac:dyDescent="0.25">
      <c r="A19" s="13"/>
      <c r="B19" s="13" t="s">
        <v>21</v>
      </c>
      <c r="C19" s="40">
        <f>SUM(C14:C18)</f>
        <v>0</v>
      </c>
      <c r="D19" s="40">
        <f>SUM(D14:D18)</f>
        <v>0</v>
      </c>
      <c r="E19" s="35"/>
      <c r="F19" s="41"/>
      <c r="G19" s="40"/>
      <c r="H19" s="40"/>
      <c r="I19" s="41"/>
      <c r="J19" s="42"/>
      <c r="K19" s="189"/>
      <c r="L19" s="189"/>
      <c r="M19" s="189"/>
      <c r="N19" s="189"/>
      <c r="O19" s="189"/>
      <c r="P19" s="32"/>
      <c r="Q19" s="32"/>
    </row>
    <row r="20" spans="1:22" ht="12.75" customHeight="1" x14ac:dyDescent="0.25">
      <c r="A20" s="13"/>
      <c r="B20" s="103" t="str">
        <f>IF(OR(C32&gt;0,H29&gt;0),"Totaal exclusief verlofuren","")</f>
        <v/>
      </c>
      <c r="C20" s="35"/>
      <c r="D20" s="102" t="str">
        <f>IF(B20="","",C46/C9)</f>
        <v/>
      </c>
      <c r="E20" s="35"/>
      <c r="F20" s="191" t="str">
        <f>IF(C32&gt;0,"Werktijdfactor exclusief verlof duurzame inzetbaarheid:",IF(H29&gt;0,"Werktijdfactor exclusief ouderschapsverlof:",""))</f>
        <v/>
      </c>
      <c r="G20" s="191"/>
      <c r="H20" s="192" t="str">
        <f>IF(C32&gt;0,FLOOR((LEFT(H23,2)/40-(H48/1659))*40,1)&amp;" uur"&amp;IF((ROUND(((LEFT(H23,2)/40-(H48/1659))*40-FLOOR((LEFT(H23,2)/40-(H48/1659))*40,1))*60,0))=0,""," en "&amp;ROUND(((LEFT(H23,2)/40-(H48/1659))*40-FLOOR((LEFT(H23,2)/40-(H48/1659))*40,1))*60,0)&amp;" minuten"),IF(H29&gt;0,FLOOR((LEFT(H23,2)/40-(H48/1659))*40,1)&amp;" uur"&amp;IF((ROUND(((LEFT(H23,2)/40-(H48/1659))*40-FLOOR((LEFT(H23,2)/40-(H48/1659))*40,1))*60,0))=0,""," en "&amp;ROUND(((LEFT(H23,2)/40-(H48/1659))*40-FLOOR((LEFT(H23,2)/40-(H48/1659))*40,1))*60,0)&amp;" minuten"),""))</f>
        <v/>
      </c>
      <c r="I20" s="41"/>
      <c r="J20" s="42"/>
      <c r="K20" s="100"/>
      <c r="L20" s="152"/>
      <c r="M20" s="152"/>
      <c r="N20" s="152"/>
      <c r="O20" s="152"/>
      <c r="P20" s="32"/>
      <c r="Q20" s="32"/>
      <c r="S20" s="166">
        <f ca="1">YEAR(NOW())-YEAR(C30)</f>
        <v>123</v>
      </c>
      <c r="T20">
        <f ca="1">YEAR(NOW())</f>
        <v>2023</v>
      </c>
    </row>
    <row r="21" spans="1:22" ht="12.75" customHeight="1" x14ac:dyDescent="0.25">
      <c r="A21" s="13"/>
      <c r="B21" s="13"/>
      <c r="C21" s="13"/>
      <c r="D21" s="101"/>
      <c r="E21" s="35"/>
      <c r="F21" s="191"/>
      <c r="G21" s="191"/>
      <c r="H21" s="192"/>
      <c r="I21" s="13"/>
      <c r="J21" s="43"/>
      <c r="K21" s="99"/>
      <c r="L21" s="44"/>
      <c r="M21" s="44"/>
      <c r="N21" s="44"/>
      <c r="O21" s="44"/>
      <c r="P21" s="32"/>
      <c r="Q21" s="32"/>
      <c r="S21" s="45">
        <v>21459</v>
      </c>
      <c r="T21" s="160">
        <f ca="1">DATE((T20-57),MONTH(C30),DAY(C30))</f>
        <v>24107</v>
      </c>
    </row>
    <row r="22" spans="1:22" ht="13.5" customHeight="1" thickBot="1" x14ac:dyDescent="0.3">
      <c r="A22" s="34" t="s">
        <v>22</v>
      </c>
      <c r="B22" s="34"/>
      <c r="C22" s="34"/>
      <c r="D22" s="34"/>
      <c r="E22" s="34"/>
      <c r="F22" s="34"/>
      <c r="G22" s="13"/>
      <c r="H22" s="13"/>
      <c r="I22" s="13"/>
      <c r="J22" s="43"/>
      <c r="K22" s="180" t="s">
        <v>23</v>
      </c>
      <c r="L22" s="180"/>
      <c r="M22" s="180"/>
      <c r="N22" s="180"/>
      <c r="O22" s="180"/>
      <c r="P22" s="32"/>
      <c r="Q22" s="32"/>
      <c r="S22" s="45"/>
      <c r="T22" s="12" t="str">
        <f>IF(C30="","",IF(C30&lt;=S21,"Overgangsregeling 56+",IF(C30&lt;=T21,"Basis en bijzonder budget","")))</f>
        <v/>
      </c>
    </row>
    <row r="23" spans="1:22" ht="12.75" customHeight="1" x14ac:dyDescent="0.25">
      <c r="A23" s="29" t="s">
        <v>24</v>
      </c>
      <c r="B23" s="13"/>
      <c r="C23" s="13"/>
      <c r="D23" s="19"/>
      <c r="E23" s="35"/>
      <c r="F23" s="181" t="s">
        <v>25</v>
      </c>
      <c r="G23" s="181"/>
      <c r="H23" s="182">
        <f>IFERROR(CEILING(IF(AND((D19*C9+D23-H28)&gt;940,(D19*C9+D23-H28)&lt;945),40+D24/41.475,IF((940/(ROUNDDOWN((D19+D23/C9-H28/C9)*F13,1))*((D19+D23/C9-H28/C9)*F13))&lt;945,(ROUNDDOWN((D19+D23/C9-H28/C9)*F13,1)),(D19+D23/C9-H28/C9)*F13)+D24/41.475),1)&amp;" uur",0)</f>
        <v>0</v>
      </c>
      <c r="I23" s="46"/>
      <c r="J23" s="47"/>
      <c r="K23" s="180"/>
      <c r="L23" s="180"/>
      <c r="M23" s="180"/>
      <c r="N23" s="180"/>
      <c r="O23" s="180"/>
      <c r="P23" s="32"/>
      <c r="Q23" s="32"/>
      <c r="T23" s="12" t="str">
        <f>IF(C30="","",IF(C30&lt;=S21,"Basis en bijzonder budget",IF(C30&lt;=T21,"Enkel basis budget","")))</f>
        <v/>
      </c>
    </row>
    <row r="24" spans="1:22" ht="13.5" customHeight="1" thickBot="1" x14ac:dyDescent="0.3">
      <c r="A24" s="29" t="s">
        <v>26</v>
      </c>
      <c r="B24" s="13"/>
      <c r="D24" s="19"/>
      <c r="E24" s="35"/>
      <c r="F24" s="181"/>
      <c r="G24" s="181"/>
      <c r="H24" s="183"/>
      <c r="I24" s="46"/>
      <c r="J24" s="47"/>
      <c r="K24" s="180"/>
      <c r="L24" s="180"/>
      <c r="M24" s="180"/>
      <c r="N24" s="180"/>
      <c r="O24" s="180"/>
      <c r="P24" s="32"/>
      <c r="Q24" s="32"/>
      <c r="R24" s="48"/>
      <c r="T24" s="12" t="str">
        <f>IF(C30="","",IF(C30&lt;=S21,"Enkel basis budget",""))</f>
        <v/>
      </c>
    </row>
    <row r="25" spans="1:22" ht="13" thickBot="1" x14ac:dyDescent="0.3">
      <c r="A25" s="49"/>
      <c r="B25" s="49"/>
      <c r="C25" s="49"/>
      <c r="D25" s="50"/>
      <c r="E25" s="50"/>
      <c r="F25" s="121" t="s">
        <v>27</v>
      </c>
      <c r="G25" s="122"/>
      <c r="H25" s="123" t="str">
        <f>IF(H23=0,"",LEFT(H23,2)/40)</f>
        <v/>
      </c>
      <c r="I25" s="49"/>
      <c r="J25" s="51"/>
      <c r="K25" s="52"/>
      <c r="L25" s="52"/>
      <c r="M25" s="52"/>
      <c r="N25" s="52"/>
      <c r="O25" s="52"/>
      <c r="P25" s="32"/>
      <c r="Q25" s="32"/>
    </row>
    <row r="26" spans="1:22" s="11" customFormat="1" ht="12.5" x14ac:dyDescent="0.25">
      <c r="A26" s="13"/>
      <c r="B26" s="13"/>
      <c r="C26" s="13"/>
      <c r="D26" s="9"/>
      <c r="E26" s="9"/>
      <c r="F26" s="13"/>
      <c r="G26" s="13"/>
      <c r="H26" s="13"/>
      <c r="I26" s="13"/>
      <c r="J26" s="43"/>
      <c r="K26" s="13"/>
      <c r="L26" s="13"/>
      <c r="M26" s="13"/>
      <c r="N26" s="13"/>
      <c r="O26" s="13"/>
      <c r="P26" s="53"/>
      <c r="Q26" s="53"/>
    </row>
    <row r="27" spans="1:22" ht="12.5" x14ac:dyDescent="0.25">
      <c r="A27" s="13" t="s">
        <v>28</v>
      </c>
      <c r="B27" s="13"/>
      <c r="C27" s="13"/>
      <c r="D27" s="9"/>
      <c r="E27" s="9"/>
      <c r="F27" s="13"/>
      <c r="G27" s="13"/>
      <c r="H27" s="13"/>
      <c r="I27" s="13"/>
      <c r="J27" s="43"/>
      <c r="K27" s="172" t="s">
        <v>29</v>
      </c>
      <c r="L27" s="172"/>
      <c r="M27" s="172"/>
      <c r="N27" s="172"/>
      <c r="O27" s="172"/>
      <c r="S27" s="12" t="s">
        <v>30</v>
      </c>
    </row>
    <row r="28" spans="1:22" ht="12.5" x14ac:dyDescent="0.25">
      <c r="A28" s="29" t="s">
        <v>31</v>
      </c>
      <c r="B28" s="13"/>
      <c r="C28" s="173"/>
      <c r="D28" s="173"/>
      <c r="E28" s="9"/>
      <c r="F28" s="54" t="str">
        <f>IF(C28="ja","Aantal lesuren verlof per jaar","")</f>
        <v/>
      </c>
      <c r="G28" s="54"/>
      <c r="H28" s="5"/>
      <c r="I28" s="13"/>
      <c r="J28" s="43"/>
      <c r="K28" s="172"/>
      <c r="L28" s="172"/>
      <c r="M28" s="172"/>
      <c r="N28" s="172"/>
      <c r="O28" s="172"/>
      <c r="S28" s="12" t="s">
        <v>32</v>
      </c>
    </row>
    <row r="29" spans="1:22" ht="12.5" x14ac:dyDescent="0.25">
      <c r="A29" s="29" t="s">
        <v>33</v>
      </c>
      <c r="B29" s="13"/>
      <c r="C29" s="174"/>
      <c r="D29" s="175"/>
      <c r="E29" s="9"/>
      <c r="F29" s="54" t="str">
        <f>IF(C29="Ja","Werktijdfactor verlof","")</f>
        <v/>
      </c>
      <c r="G29" s="54"/>
      <c r="H29" s="5"/>
      <c r="I29" s="13"/>
      <c r="J29" s="43"/>
      <c r="K29" s="146"/>
      <c r="L29" s="146"/>
      <c r="M29" s="146"/>
      <c r="N29" s="146"/>
      <c r="O29" s="146"/>
    </row>
    <row r="30" spans="1:22" ht="12.5" x14ac:dyDescent="0.25">
      <c r="A30" s="29" t="s">
        <v>34</v>
      </c>
      <c r="B30" s="13"/>
      <c r="C30" s="176"/>
      <c r="D30" s="176"/>
      <c r="E30" s="9"/>
      <c r="F30" s="177" t="str">
        <f>IF(C32&gt;0,"Verdeling uren verlof duurz. inz.",IF(H29&gt;0,"Verdeling uren ouderschapsverlof",""))</f>
        <v/>
      </c>
      <c r="G30" s="177"/>
      <c r="H30" s="177"/>
      <c r="I30" s="74"/>
      <c r="J30" s="43"/>
      <c r="K30" s="178" t="s">
        <v>35</v>
      </c>
      <c r="L30" s="178"/>
      <c r="M30" s="178"/>
      <c r="N30" s="178"/>
      <c r="O30" s="178"/>
      <c r="P30" s="13"/>
      <c r="Q30" s="13"/>
      <c r="R30" s="55">
        <f>2014-1958</f>
        <v>56</v>
      </c>
      <c r="S30" s="56" t="s">
        <v>36</v>
      </c>
    </row>
    <row r="31" spans="1:22" ht="12.5" x14ac:dyDescent="0.25">
      <c r="A31" s="9" t="str">
        <f>IF(C30="","",IF($C$30&lt;$S$21,"Recht duurzame inzetbaarheid",IF($C$30&lt;=$T$21,"Recht duurzame inzetbaarheid","")))</f>
        <v/>
      </c>
      <c r="B31" s="13"/>
      <c r="C31" s="179" t="s">
        <v>127</v>
      </c>
      <c r="D31" s="179"/>
      <c r="E31" s="9"/>
      <c r="F31" s="35" t="str">
        <f>IF(OR(C32&gt;0,H29&gt;0),"Lesuren","")</f>
        <v/>
      </c>
      <c r="G31" s="35" t="str">
        <f>IF(OR(C32&gt;0,H29&gt;0),"v/n-werk","")</f>
        <v/>
      </c>
      <c r="H31" s="35" t="str">
        <f>IF(OR(C32&gt;0,H29&gt;0),"Taakuren","")</f>
        <v/>
      </c>
      <c r="I31" s="74"/>
      <c r="J31" s="58"/>
      <c r="K31" s="178"/>
      <c r="L31" s="178"/>
      <c r="M31" s="178"/>
      <c r="N31" s="178"/>
      <c r="O31" s="178"/>
      <c r="P31" s="13"/>
      <c r="Q31" s="13"/>
      <c r="S31" s="56" t="s">
        <v>37</v>
      </c>
      <c r="U31" s="105">
        <f>H29*1659</f>
        <v>0</v>
      </c>
      <c r="V31" s="105"/>
    </row>
    <row r="32" spans="1:22" ht="12.5" x14ac:dyDescent="0.25">
      <c r="A32" s="9" t="str">
        <f>IF(C31="","",IF(C31="Overgangsregeling 52+","Aantal uur verlof",IF(C31="Overgangsregeling 56+","Aantal uur verlof",IF(C31="Basis en bijzonder budget","Aantal uur verlof",""))))</f>
        <v/>
      </c>
      <c r="B32" s="13"/>
      <c r="C32" s="157"/>
      <c r="D32" s="57" t="str">
        <f>IF(C31="Overgangsregeling 56+","Tussen "&amp;ROUND(170*LEFT(H23,2)/40,0)&amp;" en "&amp;ROUND(340*LEFT(H23,2)/40,0),IF(C31="Overgangsregeling 52+","Tussen 0 en "&amp;ROUND(170*LEFT(H23,2)/40,0),IF(C31="Basis en bijzonder budget","Tussen 0 en "&amp;ROUND(170*LEFT(H23,2)/40,0),"")))</f>
        <v/>
      </c>
      <c r="E32" s="57"/>
      <c r="F32" s="35" t="str">
        <f>IFERROR(ROUND(IF(C32&gt;0,U52,IF(H29&gt;0,U32*U31,"")),0),"")</f>
        <v/>
      </c>
      <c r="G32" s="35" t="str">
        <f>IFERROR(ROUND(IF(C32&gt;0,U53,IF(H29&gt;0,U33*U31,"")),0),"")</f>
        <v/>
      </c>
      <c r="H32" s="35" t="str">
        <f>IFERROR(ROUND(IF(C32&gt;0,U54,IF(H29&gt;0,U36*U31,"")),0),"")</f>
        <v/>
      </c>
      <c r="I32" s="74"/>
      <c r="J32" s="58"/>
      <c r="K32" s="150"/>
      <c r="L32" s="150"/>
      <c r="M32" s="150"/>
      <c r="N32" s="150"/>
      <c r="O32" s="150"/>
      <c r="P32" s="13"/>
      <c r="Q32" s="13"/>
      <c r="S32" s="104">
        <f>ROUND(IF(AND(D19*C9+D23-H28&gt;940,D19*C9+D23-H28&lt;945),940,D19*C9+D23-H28),0)</f>
        <v>0</v>
      </c>
      <c r="T32" s="105"/>
      <c r="U32" s="106" t="e">
        <f>S32/SUM($S$32:$S$36)</f>
        <v>#DIV/0!</v>
      </c>
      <c r="V32" s="105" t="e">
        <f>U32*$U$31</f>
        <v>#DIV/0!</v>
      </c>
    </row>
    <row r="33" spans="1:22" ht="13" thickBot="1" x14ac:dyDescent="0.3">
      <c r="A33" s="59"/>
      <c r="B33" s="49"/>
      <c r="C33" s="49"/>
      <c r="D33" s="110" t="str">
        <f>IF(H29&gt;0,"Professionalisering","")</f>
        <v/>
      </c>
      <c r="E33" s="50"/>
      <c r="F33" s="109" t="str">
        <f>IFERROR(ROUND(IF(H29&gt;0,U34*U31,""),0),"")</f>
        <v/>
      </c>
      <c r="G33" s="108" t="str">
        <f>IF(H29&gt;0,"Duurz. inzetb.","")</f>
        <v/>
      </c>
      <c r="H33" s="109" t="str">
        <f>IFERROR(ROUND(IF(H29&gt;0,U35*U31,""),0),"")</f>
        <v/>
      </c>
      <c r="I33" s="98"/>
      <c r="J33" s="80"/>
      <c r="K33" s="81"/>
      <c r="L33" s="81"/>
      <c r="M33" s="81"/>
      <c r="N33" s="81"/>
      <c r="O33" s="81"/>
      <c r="P33" s="13"/>
      <c r="Q33" s="13"/>
      <c r="S33" s="105">
        <f>ROUND(S52*G9,0)</f>
        <v>0</v>
      </c>
      <c r="T33" s="104">
        <f>S32+S33</f>
        <v>0</v>
      </c>
      <c r="U33" s="106" t="e">
        <f t="shared" ref="U33:U36" si="0">S33/SUM($S$32:$S$36)</f>
        <v>#DIV/0!</v>
      </c>
      <c r="V33" s="105" t="e">
        <f t="shared" ref="V33:V36" si="1">U33*$U$31</f>
        <v>#DIV/0!</v>
      </c>
    </row>
    <row r="34" spans="1:22" ht="12.5" x14ac:dyDescent="0.25">
      <c r="A34" s="29"/>
      <c r="B34" s="13"/>
      <c r="C34" s="13"/>
      <c r="D34" s="9"/>
      <c r="E34" s="9"/>
      <c r="F34" s="13"/>
      <c r="G34" s="13"/>
      <c r="H34" s="57"/>
      <c r="I34" s="57"/>
      <c r="J34" s="58"/>
      <c r="K34" s="150"/>
      <c r="L34" s="150"/>
      <c r="M34" s="150"/>
      <c r="N34" s="150"/>
      <c r="O34" s="150"/>
      <c r="P34" s="13"/>
      <c r="Q34" s="13"/>
      <c r="S34" s="104">
        <f>ROUND(LEFT(H23,2)/40*2*41.475,0)</f>
        <v>0</v>
      </c>
      <c r="T34" s="105"/>
      <c r="U34" s="106" t="e">
        <f t="shared" si="0"/>
        <v>#DIV/0!</v>
      </c>
      <c r="V34" s="105" t="e">
        <f t="shared" si="1"/>
        <v>#DIV/0!</v>
      </c>
    </row>
    <row r="35" spans="1:22" ht="12.5" x14ac:dyDescent="0.25">
      <c r="A35" s="13" t="s">
        <v>38</v>
      </c>
      <c r="B35" s="13"/>
      <c r="C35" s="13"/>
      <c r="D35" s="9"/>
      <c r="E35" s="9"/>
      <c r="F35" s="13"/>
      <c r="G35" s="13"/>
      <c r="H35" s="13"/>
      <c r="I35" s="13"/>
      <c r="J35" s="43"/>
      <c r="K35" s="13"/>
      <c r="L35" s="13"/>
      <c r="M35" s="13"/>
      <c r="N35" s="13"/>
      <c r="O35" s="13"/>
      <c r="P35" s="13"/>
      <c r="Q35" s="13"/>
      <c r="S35" s="104">
        <f>ROUND(IF(A32="",ROUND(LEFT(H23,2)/40*40,0),ROUND(VLOOKUP(C31,$S$45:$T$49,2,FALSE)*LEFT(H23,2)/40,0))-C32,0)</f>
        <v>0</v>
      </c>
      <c r="T35" s="105"/>
      <c r="U35" s="106" t="e">
        <f t="shared" si="0"/>
        <v>#DIV/0!</v>
      </c>
      <c r="V35" s="105" t="e">
        <f t="shared" si="1"/>
        <v>#DIV/0!</v>
      </c>
    </row>
    <row r="36" spans="1:22" ht="12.5" x14ac:dyDescent="0.25">
      <c r="A36" s="151" t="s">
        <v>39</v>
      </c>
      <c r="B36" s="13"/>
      <c r="C36" s="95"/>
      <c r="D36" s="9"/>
      <c r="E36" s="9"/>
      <c r="F36" s="13"/>
      <c r="G36" s="13"/>
      <c r="H36" s="13"/>
      <c r="I36" s="13"/>
      <c r="J36" s="43"/>
      <c r="K36" s="167" t="s">
        <v>40</v>
      </c>
      <c r="L36" s="167"/>
      <c r="M36" s="167"/>
      <c r="N36" s="167"/>
      <c r="O36" s="167"/>
      <c r="P36" s="13"/>
      <c r="Q36" s="13"/>
      <c r="S36" s="105">
        <f>IFERROR(ROUND(S54,0),0)</f>
        <v>0</v>
      </c>
      <c r="T36" s="105"/>
      <c r="U36" s="106" t="e">
        <f t="shared" si="0"/>
        <v>#DIV/0!</v>
      </c>
      <c r="V36" s="105" t="e">
        <f t="shared" si="1"/>
        <v>#DIV/0!</v>
      </c>
    </row>
    <row r="37" spans="1:22" ht="12.5" x14ac:dyDescent="0.25">
      <c r="A37" s="151" t="s">
        <v>41</v>
      </c>
      <c r="B37" s="13"/>
      <c r="C37" s="95"/>
      <c r="D37" s="9"/>
      <c r="E37" s="9"/>
      <c r="F37" s="13"/>
      <c r="G37" s="13"/>
      <c r="H37" s="13"/>
      <c r="I37" s="13"/>
      <c r="J37" s="43"/>
      <c r="K37" s="167"/>
      <c r="L37" s="167"/>
      <c r="M37" s="167"/>
      <c r="N37" s="167"/>
      <c r="O37" s="167"/>
      <c r="P37" s="13"/>
      <c r="Q37" s="13"/>
      <c r="S37" s="107"/>
      <c r="T37" s="105"/>
      <c r="U37" s="105"/>
      <c r="V37" s="105"/>
    </row>
    <row r="38" spans="1:22" ht="12.5" x14ac:dyDescent="0.25">
      <c r="A38" s="151" t="s">
        <v>42</v>
      </c>
      <c r="B38" s="13"/>
      <c r="C38" s="95"/>
      <c r="D38" s="9"/>
      <c r="E38" s="9"/>
      <c r="F38" s="13"/>
      <c r="G38" s="13"/>
      <c r="H38" s="13"/>
      <c r="I38" s="13"/>
      <c r="J38" s="43"/>
      <c r="K38" s="167"/>
      <c r="L38" s="167"/>
      <c r="M38" s="167"/>
      <c r="N38" s="167"/>
      <c r="O38" s="167"/>
      <c r="P38" s="13"/>
      <c r="Q38" s="13"/>
      <c r="S38" s="56"/>
    </row>
    <row r="39" spans="1:22" ht="12.5" x14ac:dyDescent="0.25">
      <c r="A39" s="151" t="s">
        <v>43</v>
      </c>
      <c r="B39" s="13"/>
      <c r="C39" s="95"/>
      <c r="D39" s="9"/>
      <c r="E39" s="9"/>
      <c r="F39" s="13"/>
      <c r="G39" s="13"/>
      <c r="H39" s="13"/>
      <c r="I39" s="13"/>
      <c r="J39" s="43"/>
      <c r="K39" s="167"/>
      <c r="L39" s="167"/>
      <c r="M39" s="167"/>
      <c r="N39" s="167"/>
      <c r="O39" s="167"/>
      <c r="P39" s="13"/>
      <c r="Q39" s="13"/>
      <c r="S39" s="56"/>
    </row>
    <row r="40" spans="1:22" ht="12.5" x14ac:dyDescent="0.25">
      <c r="A40" s="13" t="s">
        <v>21</v>
      </c>
      <c r="B40" s="13"/>
      <c r="C40" s="60">
        <f>SUM(C36:C39)</f>
        <v>0</v>
      </c>
      <c r="D40" s="9"/>
      <c r="E40" s="9"/>
      <c r="F40" s="13"/>
      <c r="G40" s="13"/>
      <c r="H40" s="13"/>
      <c r="I40" s="13"/>
      <c r="J40" s="43"/>
      <c r="K40" s="13"/>
      <c r="L40" s="13"/>
      <c r="M40" s="13"/>
      <c r="N40" s="13"/>
      <c r="O40" s="13"/>
      <c r="P40" s="13"/>
      <c r="Q40" s="13"/>
      <c r="S40" s="56"/>
    </row>
    <row r="41" spans="1:22" ht="13" thickBot="1" x14ac:dyDescent="0.3">
      <c r="A41" s="61"/>
      <c r="B41" s="62"/>
      <c r="C41" s="62"/>
      <c r="D41" s="63"/>
      <c r="E41" s="63"/>
      <c r="F41" s="62"/>
      <c r="G41" s="62"/>
      <c r="H41" s="62"/>
      <c r="I41" s="82"/>
      <c r="J41" s="43"/>
      <c r="K41" s="62"/>
      <c r="L41" s="62"/>
      <c r="M41" s="62"/>
      <c r="N41" s="62"/>
      <c r="O41" s="62"/>
      <c r="P41" s="13"/>
      <c r="Q41" s="13"/>
    </row>
    <row r="42" spans="1:22" ht="12.5" x14ac:dyDescent="0.25">
      <c r="A42" s="13"/>
      <c r="B42" s="13"/>
      <c r="C42" s="13"/>
      <c r="D42" s="9"/>
      <c r="E42" s="9"/>
      <c r="F42" s="13"/>
      <c r="G42" s="13"/>
      <c r="H42" s="18"/>
      <c r="I42" s="18"/>
      <c r="J42" s="64"/>
      <c r="K42" s="43"/>
      <c r="L42" s="43"/>
      <c r="M42" s="43"/>
      <c r="N42" s="43"/>
      <c r="O42" s="64"/>
    </row>
    <row r="43" spans="1:22" ht="12.5" x14ac:dyDescent="0.25">
      <c r="A43" s="18" t="s">
        <v>44</v>
      </c>
      <c r="B43" s="13"/>
      <c r="C43" s="13"/>
      <c r="D43" s="9"/>
      <c r="E43" s="9"/>
      <c r="F43" s="13"/>
      <c r="G43" s="13"/>
      <c r="H43" s="18"/>
      <c r="I43" s="18"/>
      <c r="J43" s="64"/>
      <c r="K43" s="21"/>
      <c r="L43" s="21"/>
      <c r="M43" s="21"/>
      <c r="N43" s="21"/>
      <c r="O43" s="21"/>
    </row>
    <row r="44" spans="1:22" ht="12.5" x14ac:dyDescent="0.25">
      <c r="A44" s="18"/>
      <c r="B44" s="13"/>
      <c r="C44" s="13"/>
      <c r="D44" s="9"/>
      <c r="E44" s="9"/>
      <c r="F44" s="13"/>
      <c r="G44" s="18"/>
      <c r="H44" s="18"/>
      <c r="I44" s="18"/>
      <c r="J44" s="64"/>
      <c r="K44" s="21"/>
      <c r="L44" s="21"/>
      <c r="M44" s="21"/>
      <c r="N44" s="21"/>
      <c r="O44" s="21"/>
    </row>
    <row r="45" spans="1:22" ht="12.5" x14ac:dyDescent="0.25">
      <c r="A45" s="18" t="s">
        <v>45</v>
      </c>
      <c r="B45" s="9"/>
      <c r="C45" s="13"/>
      <c r="D45" s="9"/>
      <c r="F45" s="65" t="s">
        <v>46</v>
      </c>
      <c r="G45" s="13"/>
      <c r="H45" s="18"/>
      <c r="I45" s="18"/>
      <c r="J45" s="64"/>
      <c r="K45" s="21"/>
      <c r="L45" s="21"/>
      <c r="M45" s="21"/>
      <c r="N45" s="21"/>
      <c r="O45" s="21"/>
      <c r="S45" s="12" t="s">
        <v>47</v>
      </c>
      <c r="T45" s="12">
        <v>170</v>
      </c>
      <c r="V45" s="12">
        <f>1659/40*41</f>
        <v>1700.4750000000001</v>
      </c>
    </row>
    <row r="46" spans="1:22" ht="12.5" x14ac:dyDescent="0.25">
      <c r="A46" s="66" t="s">
        <v>48</v>
      </c>
      <c r="C46" s="67">
        <f>IFERROR(ROUND(IF(H29&gt;0,S52-V32,S52-H48/SUM(S52:S54)*S52),0),0)</f>
        <v>0</v>
      </c>
      <c r="D46" s="68"/>
      <c r="E46" s="68"/>
      <c r="F46" s="66" t="s">
        <v>49</v>
      </c>
      <c r="G46" s="18"/>
      <c r="H46" s="69">
        <f>IFERROR(ROUND(LEFT(H23,2)/40*2*41.475-V34,0),0)</f>
        <v>0</v>
      </c>
      <c r="I46" s="69"/>
      <c r="J46" s="70"/>
      <c r="K46" s="21"/>
      <c r="L46" s="21"/>
      <c r="M46" s="21"/>
      <c r="N46" s="21"/>
      <c r="O46" s="21"/>
      <c r="S46" s="12" t="s">
        <v>50</v>
      </c>
      <c r="T46" s="12">
        <v>340</v>
      </c>
    </row>
    <row r="47" spans="1:22" ht="12.5" x14ac:dyDescent="0.25">
      <c r="A47" s="66" t="s">
        <v>51</v>
      </c>
      <c r="B47" s="66"/>
      <c r="C47" s="67">
        <f>IFERROR(ROUND(IF(H29&gt;0,S53-V33,S53-H48/SUM(S52:S54)*S53),0),0)</f>
        <v>0</v>
      </c>
      <c r="D47" s="67"/>
      <c r="E47" s="67"/>
      <c r="F47" s="66" t="s">
        <v>52</v>
      </c>
      <c r="G47" s="18"/>
      <c r="H47" s="69">
        <f>IFERROR(ROUND(IF(A32="",ROUND(LEFT(H23,2)/40*40,0),ROUND(VLOOKUP(C31,$S$45:$T$49,2,FALSE)*LEFT(H23,2)/40,0))-C32-V35,0),0)</f>
        <v>0</v>
      </c>
      <c r="I47" s="69"/>
      <c r="J47" s="70"/>
      <c r="K47" s="71"/>
      <c r="L47" s="71"/>
      <c r="M47" s="71"/>
      <c r="N47" s="71"/>
      <c r="O47" s="71"/>
      <c r="P47" s="72"/>
      <c r="Q47" s="72"/>
      <c r="S47" s="12" t="s">
        <v>53</v>
      </c>
      <c r="T47" s="12">
        <v>170</v>
      </c>
    </row>
    <row r="48" spans="1:22" ht="13" thickBot="1" x14ac:dyDescent="0.3">
      <c r="A48" s="66" t="s">
        <v>54</v>
      </c>
      <c r="B48" s="66"/>
      <c r="C48" s="93">
        <f>C40</f>
        <v>0</v>
      </c>
      <c r="D48" s="67"/>
      <c r="E48" s="67"/>
      <c r="F48" s="9" t="str">
        <f>IF(C32&gt;0,"Verlof duurzame inzetbaarheid",IF(H29&gt;0,"Ouderschapsverlof",""))</f>
        <v/>
      </c>
      <c r="G48" s="9"/>
      <c r="H48" s="69">
        <f>ROUND(IF(F48="",0,IF(C32&gt;0,C32,U31)),0)</f>
        <v>0</v>
      </c>
      <c r="J48" s="73"/>
      <c r="K48" s="71"/>
      <c r="L48" s="71"/>
      <c r="M48" s="71"/>
      <c r="N48" s="71"/>
      <c r="O48" s="71"/>
      <c r="P48" s="72"/>
      <c r="Q48" s="72"/>
    </row>
    <row r="49" spans="1:22" ht="13" thickBot="1" x14ac:dyDescent="0.3">
      <c r="A49" s="74" t="s">
        <v>55</v>
      </c>
      <c r="B49" s="74"/>
      <c r="C49" s="75">
        <f>SUM(C46:C48)</f>
        <v>0</v>
      </c>
      <c r="D49" s="16"/>
      <c r="E49" s="16"/>
      <c r="F49" s="13" t="s">
        <v>21</v>
      </c>
      <c r="G49" s="18"/>
      <c r="H49" s="76">
        <f>SUM(H46:H48)</f>
        <v>0</v>
      </c>
      <c r="I49" s="77"/>
      <c r="K49" s="21"/>
      <c r="L49" s="21"/>
      <c r="M49" s="21"/>
      <c r="N49" s="21"/>
      <c r="O49" s="21"/>
      <c r="S49" s="56" t="s">
        <v>56</v>
      </c>
      <c r="T49" s="56">
        <v>40</v>
      </c>
    </row>
    <row r="50" spans="1:22" ht="12.5" x14ac:dyDescent="0.25">
      <c r="A50" s="149"/>
      <c r="B50" s="13"/>
      <c r="C50" s="16"/>
      <c r="D50" s="13"/>
      <c r="E50" s="13"/>
      <c r="F50" s="18"/>
      <c r="G50" s="18"/>
      <c r="H50" s="9"/>
      <c r="K50" s="21"/>
      <c r="L50" s="21"/>
      <c r="M50" s="21"/>
      <c r="N50" s="21"/>
      <c r="O50" s="21"/>
    </row>
    <row r="51" spans="1:22" ht="12.5" x14ac:dyDescent="0.25">
      <c r="A51" s="33" t="s">
        <v>57</v>
      </c>
      <c r="C51" s="74"/>
      <c r="D51" s="16"/>
      <c r="E51" s="16"/>
      <c r="F51" s="168" t="str">
        <f>IF(C156&lt;0,"LET OP:","")</f>
        <v/>
      </c>
      <c r="G51" s="168"/>
      <c r="H51" s="9"/>
      <c r="K51" s="169" t="s">
        <v>58</v>
      </c>
      <c r="L51" s="169"/>
      <c r="M51" s="169"/>
      <c r="N51" s="169"/>
      <c r="O51" s="169"/>
    </row>
    <row r="52" spans="1:22" ht="12.5" x14ac:dyDescent="0.25">
      <c r="A52" s="7" t="s">
        <v>59</v>
      </c>
      <c r="B52" s="9"/>
      <c r="C52" s="15"/>
      <c r="D52" s="9"/>
      <c r="E52" s="9"/>
      <c r="F52" s="168"/>
      <c r="G52" s="168"/>
      <c r="H52" s="9"/>
      <c r="K52" s="169"/>
      <c r="L52" s="169"/>
      <c r="M52" s="169"/>
      <c r="N52" s="169"/>
      <c r="O52" s="169"/>
      <c r="S52" s="78">
        <f>ROUND(IF(AND(D19*C9+D23-H28&gt;940,D19*C9+D23-H28&lt;945),940,D19*C9+D23-H28),0)</f>
        <v>0</v>
      </c>
      <c r="U52" s="78">
        <f>S52-C46</f>
        <v>0</v>
      </c>
      <c r="V52" s="12" t="e">
        <f>S52/SUM($S$52:$S$54)</f>
        <v>#DIV/0!</v>
      </c>
    </row>
    <row r="53" spans="1:22" ht="12.5" x14ac:dyDescent="0.25">
      <c r="A53" s="24" t="s">
        <v>60</v>
      </c>
      <c r="B53" s="9"/>
      <c r="C53" s="15"/>
      <c r="D53" s="16"/>
      <c r="E53" s="170" t="str">
        <f>IF(C156&lt;0,"De werktijdfactor is te laag om deze taken te kunnen vervullen. Vul in cel D24 extra uren in.","")</f>
        <v/>
      </c>
      <c r="F53" s="170"/>
      <c r="G53" s="170"/>
      <c r="H53" s="170"/>
      <c r="K53" s="169"/>
      <c r="L53" s="169"/>
      <c r="M53" s="169"/>
      <c r="N53" s="169"/>
      <c r="O53" s="169"/>
      <c r="S53" s="12">
        <f>ROUND(S52*G9,0)</f>
        <v>0</v>
      </c>
      <c r="T53" s="78">
        <f>S52+S53</f>
        <v>0</v>
      </c>
      <c r="U53" s="78">
        <f>S53-C47</f>
        <v>0</v>
      </c>
      <c r="V53" s="12" t="e">
        <f t="shared" ref="V53:V54" si="2">S53/SUM($S$52:$S$54)</f>
        <v>#DIV/0!</v>
      </c>
    </row>
    <row r="54" spans="1:22" ht="12.5" x14ac:dyDescent="0.25">
      <c r="A54" s="24" t="s">
        <v>61</v>
      </c>
      <c r="B54" s="9"/>
      <c r="C54" s="15"/>
      <c r="D54" s="16"/>
      <c r="E54" s="170"/>
      <c r="F54" s="170"/>
      <c r="G54" s="170"/>
      <c r="H54" s="170"/>
      <c r="K54" s="169"/>
      <c r="L54" s="169"/>
      <c r="M54" s="169"/>
      <c r="N54" s="169"/>
      <c r="O54" s="169"/>
      <c r="S54" s="12">
        <f>ROUND(1659*(LEFT(H23,2)/40)-T53-ROUND(IF(A32="",ROUND(LEFT(H23,2)/40*40,0),ROUND(VLOOKUP(C31,$S$45:$T$49,2,FALSE)*LEFT(H23,2)/40,0))-C32,0)-ROUND(LEFT(H23,2)/40*2*41.475,0)-C40,0)</f>
        <v>0</v>
      </c>
      <c r="U54" s="78">
        <f>+S54-C157</f>
        <v>0</v>
      </c>
      <c r="V54" s="12" t="e">
        <f t="shared" si="2"/>
        <v>#DIV/0!</v>
      </c>
    </row>
    <row r="55" spans="1:22" ht="12.75" customHeight="1" x14ac:dyDescent="0.25">
      <c r="A55" s="24" t="s">
        <v>62</v>
      </c>
      <c r="B55" s="9"/>
      <c r="C55" s="15"/>
      <c r="D55" s="154"/>
      <c r="E55" s="171" t="s">
        <v>63</v>
      </c>
      <c r="F55" s="171"/>
      <c r="G55" s="171"/>
      <c r="H55" s="171"/>
      <c r="I55" s="132"/>
      <c r="J55" s="79"/>
      <c r="K55" s="169"/>
      <c r="L55" s="169"/>
      <c r="M55" s="169"/>
      <c r="N55" s="169"/>
      <c r="O55" s="169"/>
    </row>
    <row r="56" spans="1:22" ht="12.5" x14ac:dyDescent="0.25">
      <c r="A56" s="24" t="s">
        <v>64</v>
      </c>
      <c r="B56" s="9"/>
      <c r="C56" s="15"/>
      <c r="D56" s="16"/>
      <c r="E56" s="16"/>
      <c r="F56" s="133" t="s">
        <v>49</v>
      </c>
      <c r="G56" s="134"/>
      <c r="H56" s="135" t="s">
        <v>52</v>
      </c>
      <c r="I56" s="132"/>
      <c r="J56" s="79"/>
      <c r="K56" s="21"/>
      <c r="L56" s="21"/>
      <c r="M56" s="21"/>
      <c r="N56" s="21"/>
      <c r="O56" s="21"/>
    </row>
    <row r="57" spans="1:22" ht="12.5" x14ac:dyDescent="0.25">
      <c r="A57" s="24" t="s">
        <v>64</v>
      </c>
      <c r="B57" s="9"/>
      <c r="C57" s="15"/>
      <c r="D57" s="16"/>
      <c r="E57" s="136" t="s">
        <v>61</v>
      </c>
      <c r="F57" s="15"/>
      <c r="G57" s="137" t="s">
        <v>65</v>
      </c>
      <c r="H57" s="15"/>
      <c r="I57" s="132"/>
      <c r="J57" s="79"/>
      <c r="K57" s="21"/>
      <c r="L57" s="21"/>
      <c r="M57" s="21"/>
      <c r="N57" s="21"/>
      <c r="O57" s="21"/>
      <c r="S57" s="12">
        <f>1452/1659</f>
        <v>0.87522603978300184</v>
      </c>
    </row>
    <row r="58" spans="1:22" ht="12.5" x14ac:dyDescent="0.25">
      <c r="A58" s="24" t="s">
        <v>64</v>
      </c>
      <c r="B58" s="9"/>
      <c r="C58" s="15"/>
      <c r="D58" s="16"/>
      <c r="E58" s="136" t="s">
        <v>66</v>
      </c>
      <c r="F58" s="15"/>
      <c r="G58" s="137" t="s">
        <v>67</v>
      </c>
      <c r="H58" s="15"/>
      <c r="I58" s="132"/>
      <c r="J58" s="79"/>
      <c r="K58" s="21"/>
      <c r="L58" s="21"/>
      <c r="M58" s="21"/>
      <c r="N58" s="21"/>
      <c r="O58" s="21"/>
      <c r="S58" s="12">
        <f>35/40</f>
        <v>0.875</v>
      </c>
    </row>
    <row r="59" spans="1:22" ht="12.5" x14ac:dyDescent="0.25">
      <c r="A59" s="24" t="s">
        <v>64</v>
      </c>
      <c r="B59" s="9"/>
      <c r="C59" s="15"/>
      <c r="D59" s="16"/>
      <c r="E59" s="138" t="s">
        <v>64</v>
      </c>
      <c r="F59" s="15"/>
      <c r="G59" s="137" t="s">
        <v>68</v>
      </c>
      <c r="H59" s="15"/>
      <c r="I59" s="17"/>
      <c r="J59" s="20"/>
      <c r="K59" s="21"/>
      <c r="L59" s="21"/>
      <c r="M59" s="21"/>
      <c r="N59" s="21"/>
      <c r="O59" s="21"/>
      <c r="S59" s="12">
        <v>0</v>
      </c>
      <c r="U59" s="78">
        <f>1659/40*LEFT(H23,2)</f>
        <v>0</v>
      </c>
    </row>
    <row r="60" spans="1:22" ht="12.5" x14ac:dyDescent="0.25">
      <c r="A60" s="24" t="s">
        <v>64</v>
      </c>
      <c r="B60" s="9"/>
      <c r="C60" s="15"/>
      <c r="D60" s="16"/>
      <c r="E60" s="138" t="s">
        <v>64</v>
      </c>
      <c r="F60" s="15"/>
      <c r="G60" s="138" t="s">
        <v>64</v>
      </c>
      <c r="H60" s="15"/>
      <c r="I60" s="17"/>
      <c r="J60" s="20"/>
      <c r="K60" s="21"/>
      <c r="L60" s="21"/>
      <c r="M60" s="21"/>
      <c r="N60" s="21"/>
      <c r="O60" s="21"/>
    </row>
    <row r="61" spans="1:22" ht="12.5" hidden="1" x14ac:dyDescent="0.25">
      <c r="A61" s="24" t="s">
        <v>64</v>
      </c>
      <c r="B61" s="9"/>
      <c r="C61" s="15"/>
      <c r="D61" s="16"/>
      <c r="E61" s="138" t="s">
        <v>64</v>
      </c>
      <c r="F61" s="15"/>
      <c r="G61" s="138" t="s">
        <v>64</v>
      </c>
      <c r="H61" s="15"/>
      <c r="I61" s="17"/>
      <c r="J61" s="20"/>
      <c r="K61" s="21"/>
      <c r="L61" s="21"/>
      <c r="M61" s="21"/>
      <c r="N61" s="21"/>
      <c r="O61" s="21"/>
    </row>
    <row r="62" spans="1:22" ht="12.5" hidden="1" x14ac:dyDescent="0.25">
      <c r="A62" s="24" t="s">
        <v>64</v>
      </c>
      <c r="B62" s="9"/>
      <c r="C62" s="15"/>
      <c r="D62" s="16"/>
      <c r="E62" s="138" t="s">
        <v>64</v>
      </c>
      <c r="F62" s="15"/>
      <c r="G62" s="138" t="s">
        <v>64</v>
      </c>
      <c r="H62" s="15"/>
      <c r="I62" s="17"/>
      <c r="J62" s="20"/>
      <c r="K62" s="21"/>
      <c r="L62" s="21"/>
      <c r="M62" s="21"/>
      <c r="N62" s="21"/>
      <c r="O62" s="21"/>
    </row>
    <row r="63" spans="1:22" ht="12.5" hidden="1" x14ac:dyDescent="0.25">
      <c r="A63" s="24" t="s">
        <v>64</v>
      </c>
      <c r="B63" s="9"/>
      <c r="C63" s="15"/>
      <c r="D63" s="16"/>
      <c r="E63" s="138" t="s">
        <v>64</v>
      </c>
      <c r="F63" s="15"/>
      <c r="G63" s="138" t="s">
        <v>64</v>
      </c>
      <c r="H63" s="15"/>
      <c r="I63" s="17"/>
      <c r="J63" s="20"/>
      <c r="K63" s="21"/>
      <c r="L63" s="21"/>
      <c r="M63" s="21"/>
      <c r="N63" s="21"/>
      <c r="O63" s="21"/>
    </row>
    <row r="64" spans="1:22" ht="12.5" hidden="1" x14ac:dyDescent="0.25">
      <c r="A64" s="24" t="s">
        <v>64</v>
      </c>
      <c r="B64" s="9"/>
      <c r="C64" s="15"/>
      <c r="D64" s="16"/>
      <c r="E64" s="138" t="s">
        <v>64</v>
      </c>
      <c r="F64" s="15"/>
      <c r="G64" s="138" t="s">
        <v>64</v>
      </c>
      <c r="H64" s="15"/>
      <c r="I64" s="17"/>
      <c r="J64" s="20"/>
      <c r="K64" s="21"/>
      <c r="L64" s="21"/>
      <c r="M64" s="21"/>
      <c r="N64" s="21"/>
      <c r="O64" s="21"/>
    </row>
    <row r="65" spans="1:15" ht="12.5" hidden="1" x14ac:dyDescent="0.25">
      <c r="A65" s="24" t="s">
        <v>64</v>
      </c>
      <c r="B65" s="9"/>
      <c r="C65" s="15"/>
      <c r="D65" s="16"/>
      <c r="E65" s="138" t="s">
        <v>64</v>
      </c>
      <c r="F65" s="15"/>
      <c r="G65" s="138" t="s">
        <v>64</v>
      </c>
      <c r="H65" s="15"/>
      <c r="I65" s="17"/>
      <c r="J65" s="20"/>
      <c r="K65" s="21"/>
      <c r="L65" s="21"/>
      <c r="M65" s="21"/>
      <c r="N65" s="21"/>
      <c r="O65" s="21"/>
    </row>
    <row r="66" spans="1:15" ht="12.5" hidden="1" x14ac:dyDescent="0.25">
      <c r="A66" s="24" t="s">
        <v>64</v>
      </c>
      <c r="B66" s="9"/>
      <c r="C66" s="15"/>
      <c r="D66" s="16"/>
      <c r="E66" s="138" t="s">
        <v>64</v>
      </c>
      <c r="F66" s="15"/>
      <c r="G66" s="138" t="s">
        <v>64</v>
      </c>
      <c r="H66" s="15"/>
      <c r="I66" s="17"/>
      <c r="J66" s="20"/>
      <c r="K66" s="21"/>
      <c r="L66" s="21"/>
      <c r="M66" s="21"/>
      <c r="N66" s="21"/>
      <c r="O66" s="21"/>
    </row>
    <row r="67" spans="1:15" ht="12.5" hidden="1" x14ac:dyDescent="0.25">
      <c r="A67" s="24" t="s">
        <v>64</v>
      </c>
      <c r="B67" s="9"/>
      <c r="C67" s="15"/>
      <c r="D67" s="16"/>
      <c r="E67" s="138" t="s">
        <v>64</v>
      </c>
      <c r="F67" s="15"/>
      <c r="G67" s="138" t="s">
        <v>64</v>
      </c>
      <c r="H67" s="15"/>
      <c r="I67" s="17"/>
      <c r="J67" s="20"/>
      <c r="K67" s="21"/>
      <c r="L67" s="21"/>
      <c r="M67" s="21"/>
      <c r="N67" s="21"/>
      <c r="O67" s="21"/>
    </row>
    <row r="68" spans="1:15" ht="12.5" hidden="1" x14ac:dyDescent="0.25">
      <c r="A68" s="24" t="s">
        <v>64</v>
      </c>
      <c r="B68" s="9"/>
      <c r="C68" s="15"/>
      <c r="D68" s="16"/>
      <c r="E68" s="138" t="s">
        <v>64</v>
      </c>
      <c r="F68" s="15"/>
      <c r="G68" s="138" t="s">
        <v>64</v>
      </c>
      <c r="H68" s="15"/>
      <c r="I68" s="17"/>
      <c r="J68" s="20"/>
      <c r="K68" s="21"/>
      <c r="L68" s="21"/>
      <c r="M68" s="21"/>
      <c r="N68" s="21"/>
      <c r="O68" s="21"/>
    </row>
    <row r="69" spans="1:15" ht="12.5" hidden="1" x14ac:dyDescent="0.25">
      <c r="A69" s="24" t="s">
        <v>64</v>
      </c>
      <c r="B69" s="9"/>
      <c r="C69" s="15"/>
      <c r="D69" s="16"/>
      <c r="E69" s="138" t="s">
        <v>64</v>
      </c>
      <c r="F69" s="15"/>
      <c r="G69" s="138" t="s">
        <v>64</v>
      </c>
      <c r="H69" s="15"/>
      <c r="I69" s="17"/>
      <c r="J69" s="20"/>
      <c r="K69" s="21"/>
      <c r="L69" s="21"/>
      <c r="M69" s="21"/>
      <c r="N69" s="21"/>
      <c r="O69" s="21"/>
    </row>
    <row r="70" spans="1:15" ht="12.5" hidden="1" x14ac:dyDescent="0.25">
      <c r="A70" s="24" t="s">
        <v>64</v>
      </c>
      <c r="B70" s="9"/>
      <c r="C70" s="15"/>
      <c r="D70" s="16"/>
      <c r="E70" s="138" t="s">
        <v>64</v>
      </c>
      <c r="F70" s="15"/>
      <c r="G70" s="138" t="s">
        <v>64</v>
      </c>
      <c r="H70" s="15"/>
      <c r="I70" s="17"/>
      <c r="J70" s="20"/>
      <c r="K70" s="21"/>
      <c r="L70" s="21"/>
      <c r="M70" s="21"/>
      <c r="N70" s="21"/>
      <c r="O70" s="21"/>
    </row>
    <row r="71" spans="1:15" ht="12.5" hidden="1" x14ac:dyDescent="0.25">
      <c r="A71" s="24" t="s">
        <v>64</v>
      </c>
      <c r="B71" s="9"/>
      <c r="C71" s="15"/>
      <c r="D71" s="16"/>
      <c r="E71" s="138" t="s">
        <v>64</v>
      </c>
      <c r="F71" s="15"/>
      <c r="G71" s="138" t="s">
        <v>64</v>
      </c>
      <c r="H71" s="15"/>
      <c r="I71" s="17"/>
      <c r="J71" s="20"/>
      <c r="K71" s="21"/>
      <c r="L71" s="21"/>
      <c r="M71" s="21"/>
      <c r="N71" s="21"/>
      <c r="O71" s="21"/>
    </row>
    <row r="72" spans="1:15" ht="12.5" hidden="1" x14ac:dyDescent="0.25">
      <c r="A72" s="24" t="s">
        <v>64</v>
      </c>
      <c r="B72" s="9"/>
      <c r="C72" s="15"/>
      <c r="D72" s="16"/>
      <c r="E72" s="138" t="s">
        <v>64</v>
      </c>
      <c r="F72" s="15"/>
      <c r="G72" s="138" t="s">
        <v>64</v>
      </c>
      <c r="H72" s="15"/>
      <c r="I72" s="17"/>
      <c r="J72" s="20"/>
      <c r="K72" s="21"/>
      <c r="L72" s="21"/>
      <c r="M72" s="21"/>
      <c r="N72" s="21"/>
      <c r="O72" s="21"/>
    </row>
    <row r="73" spans="1:15" ht="12.5" hidden="1" x14ac:dyDescent="0.25">
      <c r="A73" s="24" t="s">
        <v>64</v>
      </c>
      <c r="B73" s="9"/>
      <c r="C73" s="15"/>
      <c r="D73" s="16"/>
      <c r="E73" s="138" t="s">
        <v>64</v>
      </c>
      <c r="F73" s="15"/>
      <c r="G73" s="138" t="s">
        <v>64</v>
      </c>
      <c r="H73" s="15"/>
      <c r="I73" s="17"/>
      <c r="J73" s="20"/>
      <c r="K73" s="21"/>
      <c r="L73" s="21"/>
      <c r="M73" s="21"/>
      <c r="N73" s="21"/>
      <c r="O73" s="21"/>
    </row>
    <row r="74" spans="1:15" ht="12.5" hidden="1" x14ac:dyDescent="0.25">
      <c r="A74" s="24" t="s">
        <v>64</v>
      </c>
      <c r="B74" s="9"/>
      <c r="C74" s="15"/>
      <c r="D74" s="16"/>
      <c r="E74" s="138" t="s">
        <v>64</v>
      </c>
      <c r="F74" s="15"/>
      <c r="G74" s="138" t="s">
        <v>64</v>
      </c>
      <c r="H74" s="15"/>
      <c r="I74" s="17"/>
      <c r="J74" s="20"/>
      <c r="K74" s="21"/>
      <c r="L74" s="21"/>
      <c r="M74" s="21"/>
      <c r="N74" s="21"/>
      <c r="O74" s="21"/>
    </row>
    <row r="75" spans="1:15" ht="12.5" hidden="1" x14ac:dyDescent="0.25">
      <c r="A75" s="24" t="s">
        <v>64</v>
      </c>
      <c r="B75" s="9"/>
      <c r="C75" s="15"/>
      <c r="D75" s="16"/>
      <c r="E75" s="138" t="s">
        <v>64</v>
      </c>
      <c r="F75" s="15"/>
      <c r="G75" s="138" t="s">
        <v>64</v>
      </c>
      <c r="H75" s="15"/>
      <c r="I75" s="17"/>
      <c r="J75" s="20"/>
      <c r="K75" s="21"/>
      <c r="L75" s="21"/>
      <c r="M75" s="21"/>
      <c r="N75" s="21"/>
      <c r="O75" s="21"/>
    </row>
    <row r="76" spans="1:15" ht="12.5" hidden="1" x14ac:dyDescent="0.25">
      <c r="A76" s="24" t="s">
        <v>64</v>
      </c>
      <c r="B76" s="9"/>
      <c r="C76" s="15"/>
      <c r="D76" s="16"/>
      <c r="E76" s="138" t="s">
        <v>64</v>
      </c>
      <c r="F76" s="15"/>
      <c r="G76" s="138" t="s">
        <v>64</v>
      </c>
      <c r="H76" s="15"/>
      <c r="I76" s="17"/>
      <c r="J76" s="20"/>
      <c r="K76" s="21"/>
      <c r="L76" s="21"/>
      <c r="M76" s="21"/>
      <c r="N76" s="21"/>
      <c r="O76" s="21"/>
    </row>
    <row r="77" spans="1:15" ht="12.5" hidden="1" x14ac:dyDescent="0.25">
      <c r="A77" s="24" t="s">
        <v>64</v>
      </c>
      <c r="B77" s="9"/>
      <c r="C77" s="15"/>
      <c r="D77" s="16"/>
      <c r="E77" s="138" t="s">
        <v>64</v>
      </c>
      <c r="F77" s="15"/>
      <c r="G77" s="138" t="s">
        <v>64</v>
      </c>
      <c r="H77" s="15"/>
      <c r="I77" s="17"/>
      <c r="J77" s="20"/>
      <c r="K77" s="21"/>
      <c r="L77" s="21"/>
      <c r="M77" s="21"/>
      <c r="N77" s="21"/>
      <c r="O77" s="21"/>
    </row>
    <row r="78" spans="1:15" ht="12.5" hidden="1" x14ac:dyDescent="0.25">
      <c r="A78" s="24" t="s">
        <v>64</v>
      </c>
      <c r="B78" s="9"/>
      <c r="C78" s="15"/>
      <c r="D78" s="16"/>
      <c r="E78" s="138" t="s">
        <v>64</v>
      </c>
      <c r="F78" s="15"/>
      <c r="G78" s="138" t="s">
        <v>64</v>
      </c>
      <c r="H78" s="15"/>
      <c r="I78" s="17"/>
      <c r="J78" s="20"/>
      <c r="K78" s="21"/>
      <c r="L78" s="21"/>
      <c r="M78" s="21"/>
      <c r="N78" s="21"/>
      <c r="O78" s="21"/>
    </row>
    <row r="79" spans="1:15" ht="12.5" hidden="1" x14ac:dyDescent="0.25">
      <c r="A79" s="24" t="s">
        <v>64</v>
      </c>
      <c r="B79" s="9"/>
      <c r="C79" s="15"/>
      <c r="D79" s="16"/>
      <c r="E79" s="138" t="s">
        <v>64</v>
      </c>
      <c r="F79" s="15"/>
      <c r="G79" s="138" t="s">
        <v>64</v>
      </c>
      <c r="H79" s="15"/>
      <c r="I79" s="17"/>
      <c r="J79" s="20"/>
      <c r="K79" s="21"/>
      <c r="L79" s="21"/>
      <c r="M79" s="21"/>
      <c r="N79" s="21"/>
      <c r="O79" s="21"/>
    </row>
    <row r="80" spans="1:15" ht="12.5" hidden="1" x14ac:dyDescent="0.25">
      <c r="A80" s="24" t="s">
        <v>64</v>
      </c>
      <c r="B80" s="9"/>
      <c r="C80" s="15"/>
      <c r="D80" s="16"/>
      <c r="E80" s="138" t="s">
        <v>64</v>
      </c>
      <c r="F80" s="15"/>
      <c r="G80" s="138" t="s">
        <v>64</v>
      </c>
      <c r="H80" s="15"/>
      <c r="I80" s="17"/>
      <c r="J80" s="20"/>
      <c r="K80" s="21"/>
      <c r="L80" s="21"/>
      <c r="M80" s="21"/>
      <c r="N80" s="21"/>
      <c r="O80" s="21"/>
    </row>
    <row r="81" spans="1:15" ht="12.5" hidden="1" x14ac:dyDescent="0.25">
      <c r="A81" s="24" t="s">
        <v>64</v>
      </c>
      <c r="B81" s="9"/>
      <c r="C81" s="15"/>
      <c r="D81" s="16"/>
      <c r="E81" s="138" t="s">
        <v>64</v>
      </c>
      <c r="F81" s="15"/>
      <c r="G81" s="138" t="s">
        <v>64</v>
      </c>
      <c r="H81" s="15"/>
      <c r="I81" s="17"/>
      <c r="J81" s="20"/>
      <c r="K81" s="21"/>
      <c r="L81" s="21"/>
      <c r="M81" s="21"/>
      <c r="N81" s="21"/>
      <c r="O81" s="21"/>
    </row>
    <row r="82" spans="1:15" ht="12.5" hidden="1" x14ac:dyDescent="0.25">
      <c r="A82" s="24" t="s">
        <v>64</v>
      </c>
      <c r="B82" s="9"/>
      <c r="C82" s="15"/>
      <c r="D82" s="16"/>
      <c r="E82" s="138" t="s">
        <v>64</v>
      </c>
      <c r="F82" s="15"/>
      <c r="G82" s="138" t="s">
        <v>64</v>
      </c>
      <c r="H82" s="15"/>
      <c r="I82" s="17"/>
      <c r="J82" s="20"/>
      <c r="K82" s="21"/>
      <c r="L82" s="21"/>
      <c r="M82" s="21"/>
      <c r="N82" s="21"/>
      <c r="O82" s="21"/>
    </row>
    <row r="83" spans="1:15" ht="12.5" hidden="1" x14ac:dyDescent="0.25">
      <c r="A83" s="24" t="s">
        <v>64</v>
      </c>
      <c r="B83" s="9"/>
      <c r="C83" s="15"/>
      <c r="D83" s="16"/>
      <c r="E83" s="138" t="s">
        <v>64</v>
      </c>
      <c r="F83" s="15"/>
      <c r="G83" s="138" t="s">
        <v>64</v>
      </c>
      <c r="H83" s="15"/>
      <c r="I83" s="17"/>
      <c r="J83" s="20"/>
      <c r="K83" s="21"/>
      <c r="L83" s="21"/>
      <c r="M83" s="21"/>
      <c r="N83" s="21"/>
      <c r="O83" s="21"/>
    </row>
    <row r="84" spans="1:15" ht="12.5" hidden="1" x14ac:dyDescent="0.25">
      <c r="A84" s="24" t="s">
        <v>64</v>
      </c>
      <c r="B84" s="9"/>
      <c r="C84" s="15"/>
      <c r="D84" s="16"/>
      <c r="E84" s="138" t="s">
        <v>64</v>
      </c>
      <c r="F84" s="15"/>
      <c r="G84" s="138" t="s">
        <v>64</v>
      </c>
      <c r="H84" s="15"/>
      <c r="I84" s="17"/>
      <c r="J84" s="20"/>
      <c r="K84" s="21"/>
      <c r="L84" s="21"/>
      <c r="M84" s="21"/>
      <c r="N84" s="21"/>
      <c r="O84" s="21"/>
    </row>
    <row r="85" spans="1:15" ht="12.5" hidden="1" x14ac:dyDescent="0.25">
      <c r="A85" s="24" t="s">
        <v>64</v>
      </c>
      <c r="B85" s="9"/>
      <c r="C85" s="15"/>
      <c r="D85" s="16"/>
      <c r="E85" s="138" t="s">
        <v>64</v>
      </c>
      <c r="F85" s="15"/>
      <c r="G85" s="138" t="s">
        <v>64</v>
      </c>
      <c r="H85" s="15"/>
      <c r="I85" s="17"/>
      <c r="J85" s="20"/>
      <c r="K85" s="21"/>
      <c r="L85" s="21"/>
      <c r="M85" s="21"/>
      <c r="N85" s="21"/>
      <c r="O85" s="21"/>
    </row>
    <row r="86" spans="1:15" ht="12.5" hidden="1" x14ac:dyDescent="0.25">
      <c r="A86" s="24" t="s">
        <v>64</v>
      </c>
      <c r="B86" s="9"/>
      <c r="C86" s="15"/>
      <c r="D86" s="16"/>
      <c r="E86" s="138" t="s">
        <v>64</v>
      </c>
      <c r="F86" s="15"/>
      <c r="G86" s="138" t="s">
        <v>64</v>
      </c>
      <c r="H86" s="15"/>
      <c r="I86" s="17"/>
      <c r="J86" s="20"/>
      <c r="K86" s="21"/>
      <c r="L86" s="21"/>
      <c r="M86" s="21"/>
      <c r="N86" s="21"/>
      <c r="O86" s="21"/>
    </row>
    <row r="87" spans="1:15" ht="12.5" hidden="1" x14ac:dyDescent="0.25">
      <c r="A87" s="24" t="s">
        <v>64</v>
      </c>
      <c r="B87" s="9"/>
      <c r="C87" s="15"/>
      <c r="D87" s="16"/>
      <c r="E87" s="138" t="s">
        <v>64</v>
      </c>
      <c r="F87" s="15"/>
      <c r="G87" s="138" t="s">
        <v>64</v>
      </c>
      <c r="H87" s="15"/>
      <c r="I87" s="17"/>
      <c r="J87" s="20"/>
      <c r="K87" s="21"/>
      <c r="L87" s="21"/>
      <c r="M87" s="21"/>
      <c r="N87" s="21"/>
      <c r="O87" s="21"/>
    </row>
    <row r="88" spans="1:15" ht="12.5" hidden="1" x14ac:dyDescent="0.25">
      <c r="A88" s="24" t="s">
        <v>64</v>
      </c>
      <c r="B88" s="9"/>
      <c r="C88" s="15"/>
      <c r="D88" s="16"/>
      <c r="E88" s="138" t="s">
        <v>64</v>
      </c>
      <c r="F88" s="15"/>
      <c r="G88" s="138" t="s">
        <v>64</v>
      </c>
      <c r="H88" s="15"/>
      <c r="I88" s="17"/>
      <c r="J88" s="20"/>
      <c r="K88" s="21"/>
      <c r="L88" s="21"/>
      <c r="M88" s="21"/>
      <c r="N88" s="21"/>
      <c r="O88" s="21"/>
    </row>
    <row r="89" spans="1:15" ht="12.5" hidden="1" x14ac:dyDescent="0.25">
      <c r="A89" s="24" t="s">
        <v>64</v>
      </c>
      <c r="B89" s="9"/>
      <c r="C89" s="15"/>
      <c r="D89" s="16"/>
      <c r="E89" s="138" t="s">
        <v>64</v>
      </c>
      <c r="F89" s="15"/>
      <c r="G89" s="138" t="s">
        <v>64</v>
      </c>
      <c r="H89" s="15"/>
      <c r="I89" s="17"/>
      <c r="J89" s="20"/>
      <c r="K89" s="21"/>
      <c r="L89" s="21"/>
      <c r="M89" s="21"/>
      <c r="N89" s="21"/>
      <c r="O89" s="21"/>
    </row>
    <row r="90" spans="1:15" ht="12.5" hidden="1" x14ac:dyDescent="0.25">
      <c r="A90" s="24" t="s">
        <v>64</v>
      </c>
      <c r="B90" s="9"/>
      <c r="C90" s="15"/>
      <c r="D90" s="16"/>
      <c r="E90" s="138" t="s">
        <v>64</v>
      </c>
      <c r="F90" s="15"/>
      <c r="G90" s="138" t="s">
        <v>64</v>
      </c>
      <c r="H90" s="15"/>
      <c r="I90" s="17"/>
      <c r="J90" s="20"/>
      <c r="K90" s="21"/>
      <c r="L90" s="21"/>
      <c r="M90" s="21"/>
      <c r="N90" s="21"/>
      <c r="O90" s="21"/>
    </row>
    <row r="91" spans="1:15" ht="12.5" hidden="1" x14ac:dyDescent="0.25">
      <c r="A91" s="24" t="s">
        <v>64</v>
      </c>
      <c r="B91" s="9"/>
      <c r="C91" s="15"/>
      <c r="D91" s="16"/>
      <c r="E91" s="138" t="s">
        <v>64</v>
      </c>
      <c r="F91" s="15"/>
      <c r="G91" s="138" t="s">
        <v>64</v>
      </c>
      <c r="H91" s="15"/>
      <c r="I91" s="17"/>
      <c r="J91" s="20"/>
      <c r="K91" s="21"/>
      <c r="L91" s="21"/>
      <c r="M91" s="21"/>
      <c r="N91" s="21"/>
      <c r="O91" s="21"/>
    </row>
    <row r="92" spans="1:15" ht="12.5" hidden="1" x14ac:dyDescent="0.25">
      <c r="A92" s="24" t="s">
        <v>64</v>
      </c>
      <c r="B92" s="9"/>
      <c r="C92" s="15"/>
      <c r="D92" s="16"/>
      <c r="E92" s="138" t="s">
        <v>64</v>
      </c>
      <c r="F92" s="15"/>
      <c r="G92" s="138" t="s">
        <v>64</v>
      </c>
      <c r="H92" s="15"/>
      <c r="I92" s="17"/>
      <c r="J92" s="20"/>
      <c r="K92" s="21"/>
      <c r="L92" s="21"/>
      <c r="M92" s="21"/>
      <c r="N92" s="21"/>
      <c r="O92" s="21"/>
    </row>
    <row r="93" spans="1:15" ht="12.5" hidden="1" x14ac:dyDescent="0.25">
      <c r="A93" s="24" t="s">
        <v>64</v>
      </c>
      <c r="B93" s="9"/>
      <c r="C93" s="15"/>
      <c r="D93" s="16"/>
      <c r="E93" s="138" t="s">
        <v>64</v>
      </c>
      <c r="F93" s="15"/>
      <c r="G93" s="138" t="s">
        <v>64</v>
      </c>
      <c r="H93" s="15"/>
      <c r="I93" s="17"/>
      <c r="J93" s="20"/>
      <c r="K93" s="21"/>
      <c r="L93" s="21"/>
      <c r="M93" s="21"/>
      <c r="N93" s="21"/>
      <c r="O93" s="21"/>
    </row>
    <row r="94" spans="1:15" ht="12.5" hidden="1" x14ac:dyDescent="0.25">
      <c r="A94" s="24" t="s">
        <v>64</v>
      </c>
      <c r="B94" s="9"/>
      <c r="C94" s="15"/>
      <c r="D94" s="16"/>
      <c r="E94" s="138" t="s">
        <v>64</v>
      </c>
      <c r="F94" s="15"/>
      <c r="G94" s="138" t="s">
        <v>64</v>
      </c>
      <c r="H94" s="15"/>
      <c r="I94" s="17"/>
      <c r="J94" s="20"/>
      <c r="K94" s="21"/>
      <c r="L94" s="21"/>
      <c r="M94" s="21"/>
      <c r="N94" s="21"/>
      <c r="O94" s="21"/>
    </row>
    <row r="95" spans="1:15" ht="12.5" hidden="1" x14ac:dyDescent="0.25">
      <c r="A95" s="24" t="s">
        <v>64</v>
      </c>
      <c r="B95" s="9"/>
      <c r="C95" s="15"/>
      <c r="D95" s="16"/>
      <c r="E95" s="138" t="s">
        <v>64</v>
      </c>
      <c r="F95" s="15"/>
      <c r="G95" s="138" t="s">
        <v>64</v>
      </c>
      <c r="H95" s="15"/>
      <c r="I95" s="17"/>
      <c r="J95" s="20"/>
      <c r="K95" s="21"/>
      <c r="L95" s="21"/>
      <c r="M95" s="21"/>
      <c r="N95" s="21"/>
      <c r="O95" s="21"/>
    </row>
    <row r="96" spans="1:15" ht="12.5" hidden="1" x14ac:dyDescent="0.25">
      <c r="A96" s="24" t="s">
        <v>64</v>
      </c>
      <c r="B96" s="9"/>
      <c r="C96" s="15"/>
      <c r="D96" s="16"/>
      <c r="E96" s="138" t="s">
        <v>64</v>
      </c>
      <c r="F96" s="15"/>
      <c r="G96" s="138" t="s">
        <v>64</v>
      </c>
      <c r="H96" s="15"/>
      <c r="I96" s="17"/>
      <c r="J96" s="20"/>
      <c r="K96" s="21"/>
      <c r="L96" s="21"/>
      <c r="M96" s="21"/>
      <c r="N96" s="21"/>
      <c r="O96" s="21"/>
    </row>
    <row r="97" spans="1:15" ht="12.5" hidden="1" x14ac:dyDescent="0.25">
      <c r="A97" s="24" t="s">
        <v>64</v>
      </c>
      <c r="B97" s="9"/>
      <c r="C97" s="15"/>
      <c r="D97" s="16"/>
      <c r="E97" s="138" t="s">
        <v>64</v>
      </c>
      <c r="F97" s="15"/>
      <c r="G97" s="138" t="s">
        <v>64</v>
      </c>
      <c r="H97" s="15"/>
      <c r="I97" s="17"/>
      <c r="J97" s="20"/>
      <c r="K97" s="21"/>
      <c r="L97" s="21"/>
      <c r="M97" s="21"/>
      <c r="N97" s="21"/>
      <c r="O97" s="21"/>
    </row>
    <row r="98" spans="1:15" ht="12.5" hidden="1" x14ac:dyDescent="0.25">
      <c r="A98" s="24" t="s">
        <v>64</v>
      </c>
      <c r="B98" s="9"/>
      <c r="C98" s="15"/>
      <c r="D98" s="16"/>
      <c r="E98" s="138" t="s">
        <v>64</v>
      </c>
      <c r="F98" s="15"/>
      <c r="G98" s="138" t="s">
        <v>64</v>
      </c>
      <c r="H98" s="15"/>
      <c r="I98" s="17"/>
      <c r="J98" s="20"/>
      <c r="K98" s="21"/>
      <c r="L98" s="21"/>
      <c r="M98" s="21"/>
      <c r="N98" s="21"/>
      <c r="O98" s="21"/>
    </row>
    <row r="99" spans="1:15" ht="12.5" hidden="1" x14ac:dyDescent="0.25">
      <c r="A99" s="24" t="s">
        <v>64</v>
      </c>
      <c r="B99" s="9"/>
      <c r="C99" s="15"/>
      <c r="D99" s="16"/>
      <c r="E99" s="138" t="s">
        <v>64</v>
      </c>
      <c r="F99" s="15"/>
      <c r="G99" s="138" t="s">
        <v>64</v>
      </c>
      <c r="H99" s="15"/>
      <c r="I99" s="17"/>
      <c r="J99" s="20"/>
      <c r="K99" s="21"/>
      <c r="L99" s="21"/>
      <c r="M99" s="21"/>
      <c r="N99" s="21"/>
      <c r="O99" s="21"/>
    </row>
    <row r="100" spans="1:15" ht="12.5" hidden="1" x14ac:dyDescent="0.25">
      <c r="A100" s="24" t="s">
        <v>64</v>
      </c>
      <c r="B100" s="9"/>
      <c r="C100" s="15"/>
      <c r="D100" s="16"/>
      <c r="E100" s="138" t="s">
        <v>64</v>
      </c>
      <c r="F100" s="15"/>
      <c r="G100" s="138" t="s">
        <v>64</v>
      </c>
      <c r="H100" s="15"/>
      <c r="I100" s="17"/>
      <c r="J100" s="20"/>
      <c r="K100" s="21"/>
      <c r="L100" s="21"/>
      <c r="M100" s="21"/>
      <c r="N100" s="21"/>
      <c r="O100" s="21"/>
    </row>
    <row r="101" spans="1:15" ht="12.5" hidden="1" x14ac:dyDescent="0.25">
      <c r="A101" s="24" t="s">
        <v>64</v>
      </c>
      <c r="B101" s="9"/>
      <c r="C101" s="15"/>
      <c r="D101" s="16"/>
      <c r="E101" s="138" t="s">
        <v>64</v>
      </c>
      <c r="F101" s="15"/>
      <c r="G101" s="138" t="s">
        <v>64</v>
      </c>
      <c r="H101" s="15"/>
      <c r="I101" s="17"/>
      <c r="J101" s="20"/>
      <c r="K101" s="21"/>
      <c r="L101" s="21"/>
      <c r="M101" s="21"/>
      <c r="N101" s="21"/>
      <c r="O101" s="21"/>
    </row>
    <row r="102" spans="1:15" ht="12.5" hidden="1" x14ac:dyDescent="0.25">
      <c r="A102" s="24" t="s">
        <v>64</v>
      </c>
      <c r="B102" s="9"/>
      <c r="C102" s="15"/>
      <c r="D102" s="16"/>
      <c r="E102" s="138" t="s">
        <v>64</v>
      </c>
      <c r="F102" s="15"/>
      <c r="G102" s="138" t="s">
        <v>64</v>
      </c>
      <c r="H102" s="15"/>
      <c r="I102" s="17"/>
      <c r="J102" s="20"/>
      <c r="K102" s="21"/>
      <c r="L102" s="21"/>
      <c r="M102" s="21"/>
      <c r="N102" s="21"/>
      <c r="O102" s="21"/>
    </row>
    <row r="103" spans="1:15" ht="12.5" hidden="1" x14ac:dyDescent="0.25">
      <c r="A103" s="24" t="s">
        <v>64</v>
      </c>
      <c r="B103" s="9"/>
      <c r="C103" s="15"/>
      <c r="D103" s="16"/>
      <c r="E103" s="138" t="s">
        <v>64</v>
      </c>
      <c r="F103" s="15"/>
      <c r="G103" s="138" t="s">
        <v>64</v>
      </c>
      <c r="H103" s="15"/>
      <c r="I103" s="17"/>
      <c r="J103" s="20"/>
      <c r="K103" s="21"/>
      <c r="L103" s="21"/>
      <c r="M103" s="21"/>
      <c r="N103" s="21"/>
      <c r="O103" s="21"/>
    </row>
    <row r="104" spans="1:15" ht="12.5" hidden="1" x14ac:dyDescent="0.25">
      <c r="A104" s="24" t="s">
        <v>64</v>
      </c>
      <c r="B104" s="9"/>
      <c r="C104" s="15"/>
      <c r="D104" s="16"/>
      <c r="E104" s="138" t="s">
        <v>64</v>
      </c>
      <c r="F104" s="15"/>
      <c r="G104" s="138" t="s">
        <v>64</v>
      </c>
      <c r="H104" s="15"/>
      <c r="I104" s="17"/>
      <c r="J104" s="20"/>
      <c r="K104" s="21"/>
      <c r="L104" s="21"/>
      <c r="M104" s="21"/>
      <c r="N104" s="21"/>
      <c r="O104" s="21"/>
    </row>
    <row r="105" spans="1:15" ht="12.5" hidden="1" x14ac:dyDescent="0.25">
      <c r="A105" s="24" t="s">
        <v>64</v>
      </c>
      <c r="B105" s="9"/>
      <c r="C105" s="15"/>
      <c r="D105" s="16"/>
      <c r="E105" s="138" t="s">
        <v>64</v>
      </c>
      <c r="F105" s="15"/>
      <c r="G105" s="138" t="s">
        <v>64</v>
      </c>
      <c r="H105" s="15"/>
      <c r="I105" s="17"/>
      <c r="J105" s="20"/>
      <c r="K105" s="21"/>
      <c r="L105" s="21"/>
      <c r="M105" s="21"/>
      <c r="N105" s="21"/>
      <c r="O105" s="21"/>
    </row>
    <row r="106" spans="1:15" ht="12.5" hidden="1" x14ac:dyDescent="0.25">
      <c r="A106" s="24" t="s">
        <v>64</v>
      </c>
      <c r="B106" s="9"/>
      <c r="C106" s="15"/>
      <c r="D106" s="16"/>
      <c r="E106" s="138" t="s">
        <v>64</v>
      </c>
      <c r="F106" s="15"/>
      <c r="G106" s="138" t="s">
        <v>64</v>
      </c>
      <c r="H106" s="15"/>
      <c r="I106" s="17"/>
      <c r="J106" s="20"/>
      <c r="K106" s="21"/>
      <c r="L106" s="21"/>
      <c r="M106" s="21"/>
      <c r="N106" s="21"/>
      <c r="O106" s="21"/>
    </row>
    <row r="107" spans="1:15" ht="12.5" hidden="1" x14ac:dyDescent="0.25">
      <c r="A107" s="24" t="s">
        <v>64</v>
      </c>
      <c r="B107" s="9"/>
      <c r="C107" s="15"/>
      <c r="D107" s="16"/>
      <c r="E107" s="138" t="s">
        <v>64</v>
      </c>
      <c r="F107" s="15"/>
      <c r="G107" s="138" t="s">
        <v>64</v>
      </c>
      <c r="H107" s="15"/>
      <c r="I107" s="17"/>
      <c r="J107" s="20"/>
      <c r="K107" s="21"/>
      <c r="L107" s="21"/>
      <c r="M107" s="21"/>
      <c r="N107" s="21"/>
      <c r="O107" s="21"/>
    </row>
    <row r="108" spans="1:15" ht="12.5" hidden="1" x14ac:dyDescent="0.25">
      <c r="A108" s="24" t="s">
        <v>64</v>
      </c>
      <c r="B108" s="9"/>
      <c r="C108" s="15"/>
      <c r="D108" s="16"/>
      <c r="E108" s="138" t="s">
        <v>64</v>
      </c>
      <c r="F108" s="15"/>
      <c r="G108" s="138" t="s">
        <v>64</v>
      </c>
      <c r="H108" s="15"/>
      <c r="I108" s="17"/>
      <c r="J108" s="20"/>
      <c r="K108" s="21"/>
      <c r="L108" s="21"/>
      <c r="M108" s="21"/>
      <c r="N108" s="21"/>
      <c r="O108" s="21"/>
    </row>
    <row r="109" spans="1:15" ht="12.5" hidden="1" x14ac:dyDescent="0.25">
      <c r="A109" s="24" t="s">
        <v>64</v>
      </c>
      <c r="B109" s="9"/>
      <c r="C109" s="15"/>
      <c r="D109" s="16"/>
      <c r="E109" s="138" t="s">
        <v>64</v>
      </c>
      <c r="F109" s="15"/>
      <c r="G109" s="138" t="s">
        <v>64</v>
      </c>
      <c r="H109" s="15"/>
      <c r="I109" s="17"/>
      <c r="J109" s="20"/>
      <c r="K109" s="21"/>
      <c r="L109" s="21"/>
      <c r="M109" s="21"/>
      <c r="N109" s="21"/>
      <c r="O109" s="21"/>
    </row>
    <row r="110" spans="1:15" ht="12.5" hidden="1" x14ac:dyDescent="0.25">
      <c r="A110" s="24" t="s">
        <v>64</v>
      </c>
      <c r="B110" s="9"/>
      <c r="C110" s="15"/>
      <c r="D110" s="16"/>
      <c r="E110" s="138" t="s">
        <v>64</v>
      </c>
      <c r="F110" s="15"/>
      <c r="G110" s="138" t="s">
        <v>64</v>
      </c>
      <c r="H110" s="15"/>
      <c r="I110" s="17"/>
      <c r="J110" s="20"/>
      <c r="K110" s="21"/>
      <c r="L110" s="21"/>
      <c r="M110" s="21"/>
      <c r="N110" s="21"/>
      <c r="O110" s="21"/>
    </row>
    <row r="111" spans="1:15" ht="12.5" hidden="1" x14ac:dyDescent="0.25">
      <c r="A111" s="24" t="s">
        <v>64</v>
      </c>
      <c r="B111" s="9"/>
      <c r="C111" s="15"/>
      <c r="D111" s="16"/>
      <c r="E111" s="138" t="s">
        <v>64</v>
      </c>
      <c r="F111" s="15"/>
      <c r="G111" s="138" t="s">
        <v>64</v>
      </c>
      <c r="H111" s="15"/>
      <c r="I111" s="17"/>
      <c r="J111" s="20"/>
      <c r="K111" s="21"/>
      <c r="L111" s="21"/>
      <c r="M111" s="21"/>
      <c r="N111" s="21"/>
      <c r="O111" s="21"/>
    </row>
    <row r="112" spans="1:15" ht="12.5" hidden="1" x14ac:dyDescent="0.25">
      <c r="A112" s="24" t="s">
        <v>64</v>
      </c>
      <c r="B112" s="9"/>
      <c r="C112" s="15"/>
      <c r="D112" s="16"/>
      <c r="E112" s="138" t="s">
        <v>64</v>
      </c>
      <c r="F112" s="15"/>
      <c r="G112" s="138" t="s">
        <v>64</v>
      </c>
      <c r="H112" s="15"/>
      <c r="I112" s="17"/>
      <c r="J112" s="20"/>
      <c r="K112" s="21"/>
      <c r="L112" s="21"/>
      <c r="M112" s="21"/>
      <c r="N112" s="21"/>
      <c r="O112" s="21"/>
    </row>
    <row r="113" spans="1:15" ht="12.5" hidden="1" x14ac:dyDescent="0.25">
      <c r="A113" s="24" t="s">
        <v>64</v>
      </c>
      <c r="B113" s="9"/>
      <c r="C113" s="15"/>
      <c r="D113" s="16"/>
      <c r="E113" s="138" t="s">
        <v>64</v>
      </c>
      <c r="F113" s="15"/>
      <c r="G113" s="138" t="s">
        <v>64</v>
      </c>
      <c r="H113" s="15"/>
      <c r="I113" s="17"/>
      <c r="J113" s="20"/>
      <c r="K113" s="21"/>
      <c r="L113" s="21"/>
      <c r="M113" s="21"/>
      <c r="N113" s="21"/>
      <c r="O113" s="21"/>
    </row>
    <row r="114" spans="1:15" ht="12.5" hidden="1" x14ac:dyDescent="0.25">
      <c r="A114" s="24" t="s">
        <v>64</v>
      </c>
      <c r="B114" s="9"/>
      <c r="C114" s="15"/>
      <c r="D114" s="16"/>
      <c r="E114" s="138" t="s">
        <v>64</v>
      </c>
      <c r="F114" s="15"/>
      <c r="G114" s="138" t="s">
        <v>64</v>
      </c>
      <c r="H114" s="15"/>
      <c r="I114" s="17"/>
      <c r="J114" s="20"/>
      <c r="K114" s="21"/>
      <c r="L114" s="21"/>
      <c r="M114" s="21"/>
      <c r="N114" s="21"/>
      <c r="O114" s="21"/>
    </row>
    <row r="115" spans="1:15" ht="12.5" hidden="1" x14ac:dyDescent="0.25">
      <c r="A115" s="24" t="s">
        <v>64</v>
      </c>
      <c r="B115" s="9"/>
      <c r="C115" s="15"/>
      <c r="D115" s="16"/>
      <c r="E115" s="138" t="s">
        <v>64</v>
      </c>
      <c r="F115" s="15"/>
      <c r="G115" s="138" t="s">
        <v>64</v>
      </c>
      <c r="H115" s="15"/>
      <c r="I115" s="17"/>
      <c r="J115" s="20"/>
      <c r="K115" s="21"/>
      <c r="L115" s="21"/>
      <c r="M115" s="21"/>
      <c r="N115" s="21"/>
      <c r="O115" s="21"/>
    </row>
    <row r="116" spans="1:15" ht="12.5" hidden="1" x14ac:dyDescent="0.25">
      <c r="A116" s="24" t="s">
        <v>64</v>
      </c>
      <c r="B116" s="9"/>
      <c r="C116" s="15"/>
      <c r="D116" s="16"/>
      <c r="E116" s="138" t="s">
        <v>64</v>
      </c>
      <c r="F116" s="15"/>
      <c r="G116" s="138" t="s">
        <v>64</v>
      </c>
      <c r="H116" s="15"/>
      <c r="I116" s="17"/>
      <c r="J116" s="20"/>
      <c r="K116" s="21"/>
      <c r="L116" s="21"/>
      <c r="M116" s="21"/>
      <c r="N116" s="21"/>
      <c r="O116" s="21"/>
    </row>
    <row r="117" spans="1:15" ht="12.5" hidden="1" x14ac:dyDescent="0.25">
      <c r="A117" s="24" t="s">
        <v>64</v>
      </c>
      <c r="B117" s="9"/>
      <c r="C117" s="15"/>
      <c r="D117" s="16"/>
      <c r="E117" s="138" t="s">
        <v>64</v>
      </c>
      <c r="F117" s="15"/>
      <c r="G117" s="138" t="s">
        <v>64</v>
      </c>
      <c r="H117" s="15"/>
      <c r="I117" s="17"/>
      <c r="J117" s="20"/>
      <c r="K117" s="21"/>
      <c r="L117" s="21"/>
      <c r="M117" s="21"/>
      <c r="N117" s="21"/>
      <c r="O117" s="21"/>
    </row>
    <row r="118" spans="1:15" ht="12.5" hidden="1" x14ac:dyDescent="0.25">
      <c r="A118" s="24" t="s">
        <v>64</v>
      </c>
      <c r="B118" s="9"/>
      <c r="C118" s="15"/>
      <c r="D118" s="16"/>
      <c r="E118" s="138" t="s">
        <v>64</v>
      </c>
      <c r="F118" s="15"/>
      <c r="G118" s="138" t="s">
        <v>64</v>
      </c>
      <c r="H118" s="15"/>
      <c r="I118" s="17"/>
      <c r="J118" s="20"/>
      <c r="K118" s="21"/>
      <c r="L118" s="21"/>
      <c r="M118" s="21"/>
      <c r="N118" s="21"/>
      <c r="O118" s="21"/>
    </row>
    <row r="119" spans="1:15" ht="12.5" hidden="1" x14ac:dyDescent="0.25">
      <c r="A119" s="24" t="s">
        <v>64</v>
      </c>
      <c r="B119" s="9"/>
      <c r="C119" s="15"/>
      <c r="D119" s="16"/>
      <c r="E119" s="138" t="s">
        <v>64</v>
      </c>
      <c r="F119" s="15"/>
      <c r="G119" s="138" t="s">
        <v>64</v>
      </c>
      <c r="H119" s="15"/>
      <c r="I119" s="17"/>
      <c r="J119" s="20"/>
      <c r="K119" s="21"/>
      <c r="L119" s="21"/>
      <c r="M119" s="21"/>
      <c r="N119" s="21"/>
      <c r="O119" s="21"/>
    </row>
    <row r="120" spans="1:15" ht="12.5" hidden="1" x14ac:dyDescent="0.25">
      <c r="A120" s="24" t="s">
        <v>64</v>
      </c>
      <c r="B120" s="9"/>
      <c r="C120" s="15"/>
      <c r="D120" s="16"/>
      <c r="E120" s="138" t="s">
        <v>64</v>
      </c>
      <c r="F120" s="15"/>
      <c r="G120" s="138" t="s">
        <v>64</v>
      </c>
      <c r="H120" s="15"/>
      <c r="I120" s="17"/>
      <c r="J120" s="20"/>
      <c r="K120" s="21"/>
      <c r="L120" s="21"/>
      <c r="M120" s="21"/>
      <c r="N120" s="21"/>
      <c r="O120" s="21"/>
    </row>
    <row r="121" spans="1:15" ht="12.5" hidden="1" x14ac:dyDescent="0.25">
      <c r="A121" s="24" t="s">
        <v>64</v>
      </c>
      <c r="B121" s="9"/>
      <c r="C121" s="15"/>
      <c r="D121" s="16"/>
      <c r="E121" s="138" t="s">
        <v>64</v>
      </c>
      <c r="F121" s="15"/>
      <c r="G121" s="138" t="s">
        <v>64</v>
      </c>
      <c r="H121" s="15"/>
      <c r="I121" s="17"/>
      <c r="J121" s="20"/>
      <c r="K121" s="21"/>
      <c r="L121" s="21"/>
      <c r="M121" s="21"/>
      <c r="N121" s="21"/>
      <c r="O121" s="21"/>
    </row>
    <row r="122" spans="1:15" ht="12.5" hidden="1" x14ac:dyDescent="0.25">
      <c r="A122" s="24" t="s">
        <v>64</v>
      </c>
      <c r="B122" s="9"/>
      <c r="C122" s="15"/>
      <c r="D122" s="16"/>
      <c r="E122" s="138" t="s">
        <v>64</v>
      </c>
      <c r="F122" s="15"/>
      <c r="G122" s="138" t="s">
        <v>64</v>
      </c>
      <c r="H122" s="15"/>
      <c r="I122" s="17"/>
      <c r="J122" s="20"/>
      <c r="K122" s="21"/>
      <c r="L122" s="21"/>
      <c r="M122" s="21"/>
      <c r="N122" s="21"/>
      <c r="O122" s="21"/>
    </row>
    <row r="123" spans="1:15" ht="12.5" hidden="1" x14ac:dyDescent="0.25">
      <c r="A123" s="24" t="s">
        <v>64</v>
      </c>
      <c r="B123" s="9"/>
      <c r="C123" s="15"/>
      <c r="D123" s="16"/>
      <c r="E123" s="138" t="s">
        <v>64</v>
      </c>
      <c r="F123" s="15"/>
      <c r="G123" s="138" t="s">
        <v>64</v>
      </c>
      <c r="H123" s="15"/>
      <c r="I123" s="17"/>
      <c r="J123" s="20"/>
      <c r="K123" s="21"/>
      <c r="L123" s="21"/>
      <c r="M123" s="21"/>
      <c r="N123" s="21"/>
      <c r="O123" s="21"/>
    </row>
    <row r="124" spans="1:15" ht="12.5" hidden="1" x14ac:dyDescent="0.25">
      <c r="A124" s="24" t="s">
        <v>64</v>
      </c>
      <c r="B124" s="9"/>
      <c r="C124" s="15"/>
      <c r="D124" s="16"/>
      <c r="E124" s="138" t="s">
        <v>64</v>
      </c>
      <c r="F124" s="15"/>
      <c r="G124" s="138" t="s">
        <v>64</v>
      </c>
      <c r="H124" s="15"/>
      <c r="I124" s="17"/>
      <c r="J124" s="20"/>
      <c r="K124" s="21"/>
      <c r="L124" s="21"/>
      <c r="M124" s="21"/>
      <c r="N124" s="21"/>
      <c r="O124" s="21"/>
    </row>
    <row r="125" spans="1:15" ht="12.5" hidden="1" x14ac:dyDescent="0.25">
      <c r="A125" s="24" t="s">
        <v>64</v>
      </c>
      <c r="B125" s="9"/>
      <c r="C125" s="15"/>
      <c r="D125" s="16"/>
      <c r="E125" s="138" t="s">
        <v>64</v>
      </c>
      <c r="F125" s="15"/>
      <c r="G125" s="138" t="s">
        <v>64</v>
      </c>
      <c r="H125" s="15"/>
      <c r="I125" s="17"/>
      <c r="J125" s="20"/>
      <c r="K125" s="21"/>
      <c r="L125" s="21"/>
      <c r="M125" s="21"/>
      <c r="N125" s="21"/>
      <c r="O125" s="21"/>
    </row>
    <row r="126" spans="1:15" ht="12.5" hidden="1" x14ac:dyDescent="0.25">
      <c r="A126" s="24" t="s">
        <v>64</v>
      </c>
      <c r="B126" s="9"/>
      <c r="C126" s="15"/>
      <c r="D126" s="16"/>
      <c r="E126" s="138" t="s">
        <v>64</v>
      </c>
      <c r="F126" s="15"/>
      <c r="G126" s="138" t="s">
        <v>64</v>
      </c>
      <c r="H126" s="15"/>
      <c r="I126" s="17"/>
      <c r="J126" s="20"/>
      <c r="K126" s="21"/>
      <c r="L126" s="21"/>
      <c r="M126" s="21"/>
      <c r="N126" s="21"/>
      <c r="O126" s="21"/>
    </row>
    <row r="127" spans="1:15" ht="12.5" hidden="1" x14ac:dyDescent="0.25">
      <c r="A127" s="24" t="s">
        <v>64</v>
      </c>
      <c r="B127" s="9"/>
      <c r="C127" s="15"/>
      <c r="D127" s="16"/>
      <c r="E127" s="138" t="s">
        <v>64</v>
      </c>
      <c r="F127" s="15"/>
      <c r="G127" s="138" t="s">
        <v>64</v>
      </c>
      <c r="H127" s="15"/>
      <c r="I127" s="17"/>
      <c r="J127" s="20"/>
      <c r="K127" s="21"/>
      <c r="L127" s="21"/>
      <c r="M127" s="21"/>
      <c r="N127" s="21"/>
      <c r="O127" s="21"/>
    </row>
    <row r="128" spans="1:15" ht="12.5" hidden="1" x14ac:dyDescent="0.25">
      <c r="A128" s="24" t="s">
        <v>64</v>
      </c>
      <c r="B128" s="9"/>
      <c r="C128" s="15"/>
      <c r="D128" s="16"/>
      <c r="E128" s="138" t="s">
        <v>64</v>
      </c>
      <c r="F128" s="15"/>
      <c r="G128" s="138" t="s">
        <v>64</v>
      </c>
      <c r="H128" s="15"/>
      <c r="I128" s="17"/>
      <c r="J128" s="20"/>
      <c r="K128" s="21"/>
      <c r="L128" s="21"/>
      <c r="M128" s="21"/>
      <c r="N128" s="21"/>
      <c r="O128" s="21"/>
    </row>
    <row r="129" spans="1:15" ht="12.5" hidden="1" x14ac:dyDescent="0.25">
      <c r="A129" s="24" t="s">
        <v>64</v>
      </c>
      <c r="B129" s="9"/>
      <c r="C129" s="15"/>
      <c r="D129" s="16"/>
      <c r="E129" s="138" t="s">
        <v>64</v>
      </c>
      <c r="F129" s="15"/>
      <c r="G129" s="138" t="s">
        <v>64</v>
      </c>
      <c r="H129" s="15"/>
      <c r="I129" s="17"/>
      <c r="J129" s="20"/>
      <c r="K129" s="21"/>
      <c r="L129" s="21"/>
      <c r="M129" s="21"/>
      <c r="N129" s="21"/>
      <c r="O129" s="21"/>
    </row>
    <row r="130" spans="1:15" ht="12.5" hidden="1" x14ac:dyDescent="0.25">
      <c r="A130" s="24" t="s">
        <v>64</v>
      </c>
      <c r="B130" s="9"/>
      <c r="C130" s="15"/>
      <c r="D130" s="16"/>
      <c r="E130" s="138" t="s">
        <v>64</v>
      </c>
      <c r="F130" s="15"/>
      <c r="G130" s="138" t="s">
        <v>64</v>
      </c>
      <c r="H130" s="15"/>
      <c r="I130" s="17"/>
      <c r="J130" s="20"/>
      <c r="K130" s="21"/>
      <c r="L130" s="21"/>
      <c r="M130" s="21"/>
      <c r="N130" s="21"/>
      <c r="O130" s="21"/>
    </row>
    <row r="131" spans="1:15" ht="12.5" hidden="1" x14ac:dyDescent="0.25">
      <c r="A131" s="24" t="s">
        <v>64</v>
      </c>
      <c r="B131" s="9"/>
      <c r="C131" s="15"/>
      <c r="D131" s="16"/>
      <c r="E131" s="138" t="s">
        <v>64</v>
      </c>
      <c r="F131" s="15"/>
      <c r="G131" s="138" t="s">
        <v>64</v>
      </c>
      <c r="H131" s="15"/>
      <c r="I131" s="17"/>
      <c r="J131" s="20"/>
      <c r="K131" s="21"/>
      <c r="L131" s="21"/>
      <c r="M131" s="21"/>
      <c r="N131" s="21"/>
      <c r="O131" s="21"/>
    </row>
    <row r="132" spans="1:15" ht="12.5" hidden="1" x14ac:dyDescent="0.25">
      <c r="A132" s="24" t="s">
        <v>64</v>
      </c>
      <c r="B132" s="9"/>
      <c r="C132" s="15"/>
      <c r="D132" s="16"/>
      <c r="E132" s="138" t="s">
        <v>64</v>
      </c>
      <c r="F132" s="15"/>
      <c r="G132" s="138" t="s">
        <v>64</v>
      </c>
      <c r="H132" s="15"/>
      <c r="I132" s="17"/>
      <c r="J132" s="20"/>
      <c r="K132" s="21"/>
      <c r="L132" s="21"/>
      <c r="M132" s="21"/>
      <c r="N132" s="21"/>
      <c r="O132" s="21"/>
    </row>
    <row r="133" spans="1:15" ht="12.5" hidden="1" x14ac:dyDescent="0.25">
      <c r="A133" s="24" t="s">
        <v>64</v>
      </c>
      <c r="B133" s="9"/>
      <c r="C133" s="15"/>
      <c r="D133" s="16"/>
      <c r="E133" s="138" t="s">
        <v>64</v>
      </c>
      <c r="F133" s="15"/>
      <c r="G133" s="138" t="s">
        <v>64</v>
      </c>
      <c r="H133" s="15"/>
      <c r="I133" s="17"/>
      <c r="J133" s="20"/>
      <c r="K133" s="21"/>
      <c r="L133" s="21"/>
      <c r="M133" s="21"/>
      <c r="N133" s="21"/>
      <c r="O133" s="21"/>
    </row>
    <row r="134" spans="1:15" ht="12.5" hidden="1" x14ac:dyDescent="0.25">
      <c r="A134" s="24" t="s">
        <v>64</v>
      </c>
      <c r="B134" s="9"/>
      <c r="C134" s="15"/>
      <c r="D134" s="16"/>
      <c r="E134" s="138" t="s">
        <v>64</v>
      </c>
      <c r="F134" s="15"/>
      <c r="G134" s="138" t="s">
        <v>64</v>
      </c>
      <c r="H134" s="15"/>
      <c r="I134" s="17"/>
      <c r="J134" s="20"/>
      <c r="K134" s="21"/>
      <c r="L134" s="21"/>
      <c r="M134" s="21"/>
      <c r="N134" s="21"/>
      <c r="O134" s="21"/>
    </row>
    <row r="135" spans="1:15" ht="12.5" hidden="1" x14ac:dyDescent="0.25">
      <c r="A135" s="24" t="s">
        <v>64</v>
      </c>
      <c r="B135" s="9"/>
      <c r="C135" s="15"/>
      <c r="D135" s="16"/>
      <c r="E135" s="138" t="s">
        <v>64</v>
      </c>
      <c r="F135" s="15"/>
      <c r="G135" s="138" t="s">
        <v>64</v>
      </c>
      <c r="H135" s="15"/>
      <c r="I135" s="17"/>
      <c r="J135" s="20"/>
      <c r="K135" s="21"/>
      <c r="L135" s="21"/>
      <c r="M135" s="21"/>
      <c r="N135" s="21"/>
      <c r="O135" s="21"/>
    </row>
    <row r="136" spans="1:15" ht="12.5" hidden="1" x14ac:dyDescent="0.25">
      <c r="A136" s="24" t="s">
        <v>64</v>
      </c>
      <c r="B136" s="9"/>
      <c r="C136" s="15"/>
      <c r="D136" s="16"/>
      <c r="E136" s="138" t="s">
        <v>64</v>
      </c>
      <c r="F136" s="15"/>
      <c r="G136" s="138" t="s">
        <v>64</v>
      </c>
      <c r="H136" s="15"/>
      <c r="I136" s="17"/>
      <c r="J136" s="20"/>
      <c r="K136" s="21"/>
      <c r="L136" s="21"/>
      <c r="M136" s="21"/>
      <c r="N136" s="21"/>
      <c r="O136" s="21"/>
    </row>
    <row r="137" spans="1:15" ht="12.5" hidden="1" x14ac:dyDescent="0.25">
      <c r="A137" s="24" t="s">
        <v>64</v>
      </c>
      <c r="B137" s="9"/>
      <c r="C137" s="15"/>
      <c r="D137" s="16"/>
      <c r="E137" s="138" t="s">
        <v>64</v>
      </c>
      <c r="F137" s="15"/>
      <c r="G137" s="138" t="s">
        <v>64</v>
      </c>
      <c r="H137" s="15"/>
      <c r="I137" s="17"/>
      <c r="J137" s="20"/>
      <c r="K137" s="21"/>
      <c r="L137" s="21"/>
      <c r="M137" s="21"/>
      <c r="N137" s="21"/>
      <c r="O137" s="21"/>
    </row>
    <row r="138" spans="1:15" ht="12.5" hidden="1" x14ac:dyDescent="0.25">
      <c r="A138" s="24" t="s">
        <v>64</v>
      </c>
      <c r="B138" s="9"/>
      <c r="C138" s="15"/>
      <c r="D138" s="16"/>
      <c r="E138" s="138" t="s">
        <v>64</v>
      </c>
      <c r="F138" s="15"/>
      <c r="G138" s="138" t="s">
        <v>64</v>
      </c>
      <c r="H138" s="15"/>
      <c r="I138" s="17"/>
      <c r="J138" s="20"/>
      <c r="K138" s="21"/>
      <c r="L138" s="21"/>
      <c r="M138" s="21"/>
      <c r="N138" s="21"/>
      <c r="O138" s="21"/>
    </row>
    <row r="139" spans="1:15" ht="12.5" hidden="1" x14ac:dyDescent="0.25">
      <c r="A139" s="24" t="s">
        <v>64</v>
      </c>
      <c r="B139" s="9"/>
      <c r="C139" s="15"/>
      <c r="D139" s="16"/>
      <c r="E139" s="138" t="s">
        <v>64</v>
      </c>
      <c r="F139" s="15"/>
      <c r="G139" s="138" t="s">
        <v>64</v>
      </c>
      <c r="H139" s="15"/>
      <c r="I139" s="17"/>
      <c r="J139" s="20"/>
      <c r="K139" s="21"/>
      <c r="L139" s="21"/>
      <c r="M139" s="21"/>
      <c r="N139" s="21"/>
      <c r="O139" s="21"/>
    </row>
    <row r="140" spans="1:15" ht="12.5" hidden="1" x14ac:dyDescent="0.25">
      <c r="A140" s="24" t="s">
        <v>64</v>
      </c>
      <c r="B140" s="9"/>
      <c r="C140" s="15"/>
      <c r="D140" s="16"/>
      <c r="E140" s="138" t="s">
        <v>64</v>
      </c>
      <c r="F140" s="15"/>
      <c r="G140" s="138" t="s">
        <v>64</v>
      </c>
      <c r="H140" s="15"/>
      <c r="I140" s="17"/>
      <c r="J140" s="20"/>
      <c r="K140" s="21"/>
      <c r="L140" s="21"/>
      <c r="M140" s="21"/>
      <c r="N140" s="21"/>
      <c r="O140" s="21"/>
    </row>
    <row r="141" spans="1:15" ht="12.5" hidden="1" x14ac:dyDescent="0.25">
      <c r="A141" s="24" t="s">
        <v>64</v>
      </c>
      <c r="B141" s="9"/>
      <c r="C141" s="15"/>
      <c r="D141" s="16"/>
      <c r="E141" s="138" t="s">
        <v>64</v>
      </c>
      <c r="F141" s="15"/>
      <c r="G141" s="138" t="s">
        <v>64</v>
      </c>
      <c r="H141" s="15"/>
      <c r="I141" s="17"/>
      <c r="J141" s="20"/>
      <c r="K141" s="21"/>
      <c r="L141" s="21"/>
      <c r="M141" s="21"/>
      <c r="N141" s="21"/>
      <c r="O141" s="21"/>
    </row>
    <row r="142" spans="1:15" ht="12.5" hidden="1" x14ac:dyDescent="0.25">
      <c r="A142" s="24" t="s">
        <v>64</v>
      </c>
      <c r="B142" s="9"/>
      <c r="C142" s="15"/>
      <c r="D142" s="16"/>
      <c r="E142" s="138" t="s">
        <v>64</v>
      </c>
      <c r="F142" s="15"/>
      <c r="G142" s="138" t="s">
        <v>64</v>
      </c>
      <c r="H142" s="15"/>
      <c r="I142" s="17"/>
      <c r="J142" s="20"/>
      <c r="K142" s="21"/>
      <c r="L142" s="21"/>
      <c r="M142" s="21"/>
      <c r="N142" s="21"/>
      <c r="O142" s="21"/>
    </row>
    <row r="143" spans="1:15" ht="12.5" hidden="1" x14ac:dyDescent="0.25">
      <c r="A143" s="24" t="s">
        <v>64</v>
      </c>
      <c r="B143" s="9"/>
      <c r="C143" s="15"/>
      <c r="D143" s="16"/>
      <c r="E143" s="138" t="s">
        <v>64</v>
      </c>
      <c r="F143" s="15"/>
      <c r="G143" s="138" t="s">
        <v>64</v>
      </c>
      <c r="H143" s="15"/>
      <c r="I143" s="17"/>
      <c r="J143" s="20"/>
      <c r="K143" s="21"/>
      <c r="L143" s="21"/>
      <c r="M143" s="21"/>
      <c r="N143" s="21"/>
      <c r="O143" s="21"/>
    </row>
    <row r="144" spans="1:15" ht="12.5" hidden="1" x14ac:dyDescent="0.25">
      <c r="A144" s="24" t="s">
        <v>64</v>
      </c>
      <c r="B144" s="9"/>
      <c r="C144" s="15"/>
      <c r="D144" s="16"/>
      <c r="E144" s="138" t="s">
        <v>64</v>
      </c>
      <c r="F144" s="15"/>
      <c r="G144" s="138" t="s">
        <v>64</v>
      </c>
      <c r="H144" s="15"/>
      <c r="I144" s="17"/>
      <c r="J144" s="20"/>
      <c r="K144" s="21"/>
      <c r="L144" s="21"/>
      <c r="M144" s="21"/>
      <c r="N144" s="21"/>
      <c r="O144" s="21"/>
    </row>
    <row r="145" spans="1:15" ht="12.5" hidden="1" x14ac:dyDescent="0.25">
      <c r="A145" s="24" t="s">
        <v>64</v>
      </c>
      <c r="B145" s="9"/>
      <c r="C145" s="15"/>
      <c r="D145" s="16"/>
      <c r="E145" s="138" t="s">
        <v>64</v>
      </c>
      <c r="F145" s="15"/>
      <c r="G145" s="138" t="s">
        <v>64</v>
      </c>
      <c r="H145" s="15"/>
      <c r="I145" s="17"/>
      <c r="J145" s="20"/>
      <c r="K145" s="21"/>
      <c r="L145" s="21"/>
      <c r="M145" s="21"/>
      <c r="N145" s="21"/>
      <c r="O145" s="21"/>
    </row>
    <row r="146" spans="1:15" ht="12.5" hidden="1" x14ac:dyDescent="0.25">
      <c r="A146" s="24" t="s">
        <v>64</v>
      </c>
      <c r="B146" s="9"/>
      <c r="C146" s="15"/>
      <c r="D146" s="16"/>
      <c r="E146" s="138" t="s">
        <v>64</v>
      </c>
      <c r="F146" s="15"/>
      <c r="G146" s="138" t="s">
        <v>64</v>
      </c>
      <c r="H146" s="15"/>
      <c r="I146" s="17"/>
      <c r="J146" s="20"/>
      <c r="K146" s="21"/>
      <c r="L146" s="21"/>
      <c r="M146" s="21"/>
      <c r="N146" s="21"/>
      <c r="O146" s="21"/>
    </row>
    <row r="147" spans="1:15" ht="12.5" hidden="1" x14ac:dyDescent="0.25">
      <c r="A147" s="24" t="s">
        <v>64</v>
      </c>
      <c r="B147" s="9"/>
      <c r="C147" s="15"/>
      <c r="D147" s="16"/>
      <c r="E147" s="138" t="s">
        <v>64</v>
      </c>
      <c r="F147" s="15"/>
      <c r="G147" s="138" t="s">
        <v>64</v>
      </c>
      <c r="H147" s="15"/>
      <c r="I147" s="17"/>
      <c r="J147" s="20"/>
      <c r="K147" s="21"/>
      <c r="L147" s="21"/>
      <c r="M147" s="21"/>
      <c r="N147" s="21"/>
      <c r="O147" s="21"/>
    </row>
    <row r="148" spans="1:15" ht="12.5" hidden="1" x14ac:dyDescent="0.25">
      <c r="A148" s="24" t="s">
        <v>64</v>
      </c>
      <c r="B148" s="9"/>
      <c r="C148" s="15"/>
      <c r="D148" s="16"/>
      <c r="E148" s="138" t="s">
        <v>64</v>
      </c>
      <c r="F148" s="15"/>
      <c r="G148" s="138" t="s">
        <v>64</v>
      </c>
      <c r="H148" s="15"/>
      <c r="I148" s="17"/>
      <c r="J148" s="20"/>
      <c r="K148" s="21"/>
      <c r="L148" s="21"/>
      <c r="M148" s="21"/>
      <c r="N148" s="21"/>
      <c r="O148" s="21"/>
    </row>
    <row r="149" spans="1:15" ht="12.5" hidden="1" x14ac:dyDescent="0.25">
      <c r="A149" s="24" t="s">
        <v>64</v>
      </c>
      <c r="B149" s="9"/>
      <c r="C149" s="15"/>
      <c r="D149" s="16"/>
      <c r="E149" s="138" t="s">
        <v>64</v>
      </c>
      <c r="F149" s="15"/>
      <c r="G149" s="138" t="s">
        <v>64</v>
      </c>
      <c r="H149" s="15"/>
      <c r="I149" s="17"/>
      <c r="J149" s="20"/>
      <c r="K149" s="21"/>
      <c r="L149" s="21"/>
      <c r="M149" s="21"/>
      <c r="N149" s="21"/>
      <c r="O149" s="21"/>
    </row>
    <row r="150" spans="1:15" ht="12.5" hidden="1" x14ac:dyDescent="0.25">
      <c r="A150" s="24" t="s">
        <v>64</v>
      </c>
      <c r="B150" s="9"/>
      <c r="C150" s="15"/>
      <c r="D150" s="16"/>
      <c r="E150" s="138" t="s">
        <v>64</v>
      </c>
      <c r="F150" s="15"/>
      <c r="G150" s="138" t="s">
        <v>64</v>
      </c>
      <c r="H150" s="15"/>
      <c r="I150" s="17"/>
      <c r="J150" s="20"/>
      <c r="K150" s="21"/>
      <c r="L150" s="21"/>
      <c r="M150" s="21"/>
      <c r="N150" s="21"/>
      <c r="O150" s="21"/>
    </row>
    <row r="151" spans="1:15" ht="12.5" hidden="1" x14ac:dyDescent="0.25">
      <c r="A151" s="24" t="s">
        <v>64</v>
      </c>
      <c r="B151" s="9"/>
      <c r="C151" s="15"/>
      <c r="D151" s="16"/>
      <c r="E151" s="138" t="s">
        <v>64</v>
      </c>
      <c r="F151" s="15"/>
      <c r="G151" s="138" t="s">
        <v>64</v>
      </c>
      <c r="H151" s="15"/>
      <c r="I151" s="17"/>
      <c r="J151" s="20"/>
      <c r="K151" s="21"/>
      <c r="L151" s="21"/>
      <c r="M151" s="21"/>
      <c r="N151" s="21"/>
      <c r="O151" s="21"/>
    </row>
    <row r="152" spans="1:15" ht="12.5" hidden="1" x14ac:dyDescent="0.25">
      <c r="A152" s="24" t="s">
        <v>64</v>
      </c>
      <c r="B152" s="9"/>
      <c r="C152" s="15"/>
      <c r="D152" s="16"/>
      <c r="E152" s="138" t="s">
        <v>64</v>
      </c>
      <c r="F152" s="15"/>
      <c r="G152" s="138" t="s">
        <v>64</v>
      </c>
      <c r="H152" s="15"/>
      <c r="I152" s="17"/>
      <c r="J152" s="20"/>
      <c r="K152" s="21"/>
      <c r="L152" s="21"/>
      <c r="M152" s="21"/>
      <c r="N152" s="21"/>
      <c r="O152" s="21"/>
    </row>
    <row r="153" spans="1:15" ht="12.5" hidden="1" x14ac:dyDescent="0.25">
      <c r="A153" s="24" t="s">
        <v>64</v>
      </c>
      <c r="B153" s="9"/>
      <c r="C153" s="15"/>
      <c r="D153" s="16"/>
      <c r="E153" s="138" t="s">
        <v>64</v>
      </c>
      <c r="F153" s="15"/>
      <c r="G153" s="138" t="s">
        <v>64</v>
      </c>
      <c r="H153" s="15"/>
      <c r="I153" s="17"/>
      <c r="J153" s="20"/>
      <c r="K153" s="21"/>
      <c r="L153" s="21"/>
      <c r="M153" s="21"/>
      <c r="N153" s="21"/>
      <c r="O153" s="21"/>
    </row>
    <row r="154" spans="1:15" ht="12.5" hidden="1" x14ac:dyDescent="0.25">
      <c r="A154" s="151" t="s">
        <v>64</v>
      </c>
      <c r="B154" s="9"/>
      <c r="C154" s="15"/>
      <c r="E154" s="138" t="s">
        <v>64</v>
      </c>
      <c r="F154" s="15"/>
      <c r="G154" s="138" t="s">
        <v>64</v>
      </c>
      <c r="H154" s="15"/>
      <c r="I154" s="17"/>
      <c r="J154" s="20"/>
      <c r="K154" s="21"/>
      <c r="L154" s="21"/>
      <c r="M154" s="21"/>
      <c r="N154" s="21"/>
      <c r="O154" s="21"/>
    </row>
    <row r="155" spans="1:15" ht="12.5" x14ac:dyDescent="0.25">
      <c r="A155" s="7" t="s">
        <v>69</v>
      </c>
      <c r="B155" s="9"/>
      <c r="C155" s="15"/>
      <c r="D155" s="9"/>
      <c r="E155" s="138" t="s">
        <v>64</v>
      </c>
      <c r="F155" s="15"/>
      <c r="G155" s="138" t="s">
        <v>64</v>
      </c>
      <c r="H155" s="15"/>
      <c r="K155" s="21"/>
      <c r="L155" s="21"/>
      <c r="M155" s="21"/>
      <c r="N155" s="21"/>
      <c r="O155" s="21"/>
    </row>
    <row r="156" spans="1:15" ht="13" thickBot="1" x14ac:dyDescent="0.3">
      <c r="A156" s="8" t="s">
        <v>70</v>
      </c>
      <c r="B156" s="9"/>
      <c r="C156" s="10">
        <f>IFERROR(IF(H29&gt;0,ROUND(S54-SUM(C52:C155)-V36,0),ROUND(S54-H48/SUM(S52:S54)*S54-SUM(C52:C155),0)),0)</f>
        <v>0</v>
      </c>
      <c r="D156" s="9"/>
      <c r="E156" s="139" t="s">
        <v>71</v>
      </c>
      <c r="F156" s="140">
        <f>H46-SUM(F57:F155)</f>
        <v>0</v>
      </c>
      <c r="G156" s="139" t="s">
        <v>71</v>
      </c>
      <c r="H156" s="140">
        <f>H47-SUM(H57:H155)</f>
        <v>0</v>
      </c>
      <c r="K156" s="21"/>
      <c r="L156" s="21"/>
      <c r="M156" s="21"/>
      <c r="N156" s="21"/>
      <c r="O156" s="21"/>
    </row>
    <row r="157" spans="1:15" ht="13" thickBot="1" x14ac:dyDescent="0.3">
      <c r="A157" s="13" t="s">
        <v>72</v>
      </c>
      <c r="B157" s="9"/>
      <c r="C157" s="14">
        <f>SUM(C52:C156)</f>
        <v>0</v>
      </c>
      <c r="D157" s="9"/>
      <c r="E157" s="154" t="s">
        <v>21</v>
      </c>
      <c r="F157" s="76">
        <f>SUM(F52:F156)</f>
        <v>0</v>
      </c>
      <c r="G157" s="154" t="s">
        <v>21</v>
      </c>
      <c r="H157" s="76">
        <f>SUM(H52:H156)</f>
        <v>0</v>
      </c>
      <c r="K157" s="21"/>
      <c r="L157" s="21"/>
      <c r="M157" s="21"/>
      <c r="N157" s="21"/>
      <c r="O157" s="21"/>
    </row>
    <row r="158" spans="1:15" ht="12.5" x14ac:dyDescent="0.25">
      <c r="A158" s="13"/>
      <c r="B158" s="9"/>
      <c r="C158" s="77"/>
      <c r="D158" s="9"/>
      <c r="E158" s="9"/>
      <c r="F158" s="77"/>
      <c r="G158" s="9"/>
      <c r="H158" s="77"/>
      <c r="K158" s="21"/>
      <c r="L158" s="21"/>
      <c r="M158" s="21"/>
      <c r="N158" s="21"/>
      <c r="O158" s="21"/>
    </row>
    <row r="159" spans="1:15" s="9" customFormat="1" ht="12.5" x14ac:dyDescent="0.25">
      <c r="J159" s="21"/>
      <c r="K159" s="21"/>
      <c r="L159" s="21"/>
      <c r="M159" s="21"/>
      <c r="N159" s="21"/>
      <c r="O159" s="21"/>
    </row>
    <row r="160" spans="1:15" ht="12.5" hidden="1" x14ac:dyDescent="0.25">
      <c r="K160" s="21"/>
      <c r="L160" s="21"/>
      <c r="M160" s="21"/>
      <c r="N160" s="21"/>
      <c r="O160" s="21"/>
    </row>
    <row r="161" spans="11:15" ht="12.75" hidden="1" customHeight="1" x14ac:dyDescent="0.25">
      <c r="K161" s="21"/>
      <c r="L161" s="21"/>
      <c r="M161" s="21"/>
      <c r="N161" s="21"/>
      <c r="O161" s="21"/>
    </row>
  </sheetData>
  <sheetProtection algorithmName="SHA-512" hashValue="cMwGoXEKVdWdQlc49O1XOYvPbOTsLmqN2sgpiF9QGaHL41q1Wuih0uqxTAHLOyObRZgv2/66ySfo55S1qtcubA==" saltValue="POrCXBCMbYpcCBjcEowjLA==" spinCount="100000" sheet="1" objects="1" scenarios="1" formatColumns="0" formatRows="0" insertColumns="0" insertRows="0" selectLockedCells="1"/>
  <mergeCells count="26">
    <mergeCell ref="K22:O24"/>
    <mergeCell ref="F23:G24"/>
    <mergeCell ref="H23:H24"/>
    <mergeCell ref="D2:E2"/>
    <mergeCell ref="B5:D5"/>
    <mergeCell ref="G5:H5"/>
    <mergeCell ref="B6:D6"/>
    <mergeCell ref="G6:H6"/>
    <mergeCell ref="B7:D7"/>
    <mergeCell ref="K11:O15"/>
    <mergeCell ref="C12:D12"/>
    <mergeCell ref="K16:O19"/>
    <mergeCell ref="F20:G21"/>
    <mergeCell ref="H20:H21"/>
    <mergeCell ref="K27:O28"/>
    <mergeCell ref="C28:D28"/>
    <mergeCell ref="C29:D29"/>
    <mergeCell ref="C30:D30"/>
    <mergeCell ref="F30:H30"/>
    <mergeCell ref="K30:O31"/>
    <mergeCell ref="C31:D31"/>
    <mergeCell ref="K36:O39"/>
    <mergeCell ref="F51:G52"/>
    <mergeCell ref="K51:O55"/>
    <mergeCell ref="E53:H54"/>
    <mergeCell ref="E55:H55"/>
  </mergeCells>
  <conditionalFormatting sqref="H28">
    <cfRule type="cellIs" dxfId="118" priority="15" operator="equal">
      <formula>$C$28&lt;&gt;"Ja"</formula>
    </cfRule>
    <cfRule type="cellIs" dxfId="117" priority="16" operator="between">
      <formula>1</formula>
      <formula>1300</formula>
    </cfRule>
  </conditionalFormatting>
  <conditionalFormatting sqref="C46">
    <cfRule type="cellIs" dxfId="116" priority="17" operator="equal">
      <formula>$D$46&lt;&gt;"Niet toegestaan"</formula>
    </cfRule>
  </conditionalFormatting>
  <conditionalFormatting sqref="C31:D31">
    <cfRule type="containsText" dxfId="115" priority="18" operator="containsText" text="e">
      <formula>NOT(ISERROR(SEARCH("e",C31)))</formula>
    </cfRule>
    <cfRule type="cellIs" dxfId="114" priority="19" operator="equal">
      <formula>$A$31&lt;&gt;"Recht duurzame inzetbaarheid"</formula>
    </cfRule>
  </conditionalFormatting>
  <conditionalFormatting sqref="C32">
    <cfRule type="cellIs" dxfId="113" priority="20" operator="equal">
      <formula>$A$32&lt;&gt;"Aantal uur verlof"</formula>
    </cfRule>
    <cfRule type="cellIs" dxfId="112" priority="21" operator="equal">
      <formula>""""""</formula>
    </cfRule>
    <cfRule type="cellIs" dxfId="111" priority="22" operator="between">
      <formula>1</formula>
      <formula>500</formula>
    </cfRule>
  </conditionalFormatting>
  <conditionalFormatting sqref="H20:H21">
    <cfRule type="containsText" dxfId="110" priority="11" operator="containsText" text="u">
      <formula>NOT(ISERROR(SEARCH("u",H20)))</formula>
    </cfRule>
    <cfRule type="cellIs" dxfId="109" priority="14" operator="equal">
      <formula>$F$31&lt;&gt;"Lesuren"</formula>
    </cfRule>
  </conditionalFormatting>
  <conditionalFormatting sqref="H19">
    <cfRule type="cellIs" dxfId="108" priority="13" operator="equal">
      <formula>$C$32&lt;&gt;"=&gt;0"</formula>
    </cfRule>
  </conditionalFormatting>
  <conditionalFormatting sqref="H22">
    <cfRule type="cellIs" dxfId="107" priority="12" operator="equal">
      <formula>$C$32&lt;&gt;"&gt;0"</formula>
    </cfRule>
  </conditionalFormatting>
  <conditionalFormatting sqref="H29">
    <cfRule type="cellIs" dxfId="106" priority="9" operator="equal">
      <formula>$C$29&lt;&gt;"Ja"</formula>
    </cfRule>
    <cfRule type="cellIs" dxfId="105" priority="10" operator="between">
      <formula>0.0001</formula>
      <formula>2</formula>
    </cfRule>
  </conditionalFormatting>
  <conditionalFormatting sqref="H33">
    <cfRule type="cellIs" dxfId="104" priority="7" operator="equal">
      <formula>$F$29&lt;&gt;"Werktijdfactor verlof"</formula>
    </cfRule>
  </conditionalFormatting>
  <conditionalFormatting sqref="F32:H32">
    <cfRule type="cellIs" dxfId="103" priority="8" operator="between">
      <formula>0.0001</formula>
      <formula>99999</formula>
    </cfRule>
  </conditionalFormatting>
  <conditionalFormatting sqref="G32:H32">
    <cfRule type="cellIs" dxfId="102" priority="6" operator="equal">
      <formula>$F$29&lt;&gt;"Werktijdfactor verlof"</formula>
    </cfRule>
  </conditionalFormatting>
  <conditionalFormatting sqref="D32">
    <cfRule type="cellIs" dxfId="101" priority="4" operator="equal">
      <formula>""""</formula>
    </cfRule>
    <cfRule type="cellIs" dxfId="100" priority="5" operator="between">
      <formula>0</formula>
      <formula>100</formula>
    </cfRule>
  </conditionalFormatting>
  <conditionalFormatting sqref="H156">
    <cfRule type="cellIs" dxfId="99" priority="2" operator="lessThan">
      <formula>0</formula>
    </cfRule>
  </conditionalFormatting>
  <conditionalFormatting sqref="F156">
    <cfRule type="cellIs" dxfId="98" priority="1" operator="lessThan">
      <formula>0</formula>
    </cfRule>
  </conditionalFormatting>
  <dataValidations count="6">
    <dataValidation allowBlank="1" showInputMessage="1" showErrorMessage="1" errorTitle="Ongeldige invoer" error="Het ingevulde aantal uur verlof overstijgt het totaal aantal lesuren. Kies voor een lager aantal uur verlof." sqref="F32:H32" xr:uid="{00000000-0002-0000-0000-000000000000}"/>
    <dataValidation type="whole" allowBlank="1" showInputMessage="1" showErrorMessage="1" errorTitle="Foutieve invoer" error="Het aantal uur verlof past niet binnen uw budget" sqref="C32" xr:uid="{00000000-0002-0000-0000-000001000000}">
      <formula1>0</formula1>
      <formula2>IF(C31="Overgangsregeling 56+",ROUND(340*LEFT(H23,2)/40,0),IF(C31="Overgangsregeling 52+",ROUND(170*LEFT(H23,2)/40,0),IF(C31="Basis en bijzonder budget",ROUND(170*LEFT(H23,2)/40,0),"")))</formula2>
    </dataValidation>
    <dataValidation type="whole" allowBlank="1" showInputMessage="1" showErrorMessage="1" errorTitle="Foutieve invoer" error="Het aantal uur verlof past niet binnen uw budget" sqref="G34" xr:uid="{00000000-0002-0000-0000-000002000000}">
      <formula1>0</formula1>
      <formula2>IF(#REF!="Overgangsregeling 56+",ROUND(340*LEFT(H26,2)/40,0),IF(#REF!="Overgangsregeling 52+",ROUND(170*LEFT(H26,2)/40,0),IF(#REF!="Basis en bijzonder budget",ROUND(170*LEFT(H26,2)/40,0),"")))</formula2>
    </dataValidation>
    <dataValidation type="decimal" errorStyle="warning" operator="equal" allowBlank="1" showInputMessage="1" showErrorMessage="1" errorTitle="Let op:" error="Het aantal lesuren van deze werknemer wijkt af van het ingevoerde schoolbrede aantal" sqref="G14:G18" xr:uid="{00000000-0002-0000-0000-000003000000}">
      <formula1>C14</formula1>
    </dataValidation>
    <dataValidation type="list" allowBlank="1" showInputMessage="1" showErrorMessage="1" sqref="C28:C29" xr:uid="{00000000-0002-0000-0000-000004000000}">
      <formula1>"Ja,Nee"</formula1>
    </dataValidation>
    <dataValidation type="list" allowBlank="1" showInputMessage="1" showErrorMessage="1" sqref="C31:D31" xr:uid="{00000000-0002-0000-0000-000005000000}">
      <formula1>$T$22:$T$24</formula1>
    </dataValidation>
  </dataValidations>
  <pageMargins left="0.7" right="0.7" top="0.75" bottom="0.75" header="0.3" footer="0.3"/>
  <pageSetup paperSize="9" scale="87"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containsText" priority="3" operator="containsText" id="{292205DE-E856-4477-BDA0-61AD6BB26528}">
            <xm:f>NOT(ISERROR(SEARCH($D$33&lt;&gt;"Professionalisering",D32)))</xm:f>
            <xm:f>$D$33&lt;&gt;"Professionalisering"</xm:f>
            <x14:dxf>
              <border>
                <bottom style="thin">
                  <color auto="1"/>
                </bottom>
                <vertical/>
                <horizontal/>
              </border>
            </x14:dxf>
          </x14:cfRule>
          <xm:sqref>D32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dimension ref="A1:V110"/>
  <sheetViews>
    <sheetView zoomScale="85" zoomScaleNormal="85" workbookViewId="0">
      <selection activeCell="C2" sqref="C2:D2"/>
    </sheetView>
  </sheetViews>
  <sheetFormatPr defaultColWidth="0" defaultRowHeight="12.75" customHeight="1" zeroHeight="1" x14ac:dyDescent="0.25"/>
  <cols>
    <col min="1" max="1" width="27" style="12" customWidth="1"/>
    <col min="2" max="4" width="11.1796875" style="12" customWidth="1"/>
    <col min="5" max="5" width="7.54296875" style="12" customWidth="1"/>
    <col min="6" max="7" width="14.1796875" style="12" customWidth="1"/>
    <col min="8" max="8" width="14.453125" style="12" customWidth="1"/>
    <col min="9" max="9" width="1.453125" style="9" customWidth="1"/>
    <col min="10" max="10" width="2" style="21" customWidth="1"/>
    <col min="11" max="15" width="13.81640625" style="21" customWidth="1"/>
    <col min="16" max="17" width="13.81640625" style="9" hidden="1" customWidth="1"/>
    <col min="18" max="18" width="10.1796875" style="12" hidden="1" customWidth="1"/>
    <col min="19" max="19" width="9.453125" style="12" hidden="1" customWidth="1"/>
    <col min="20" max="20" width="10.08984375" style="12" hidden="1" customWidth="1"/>
    <col min="21" max="16384" width="9.1796875" style="12" hidden="1"/>
  </cols>
  <sheetData>
    <row r="1" spans="1:21" ht="12.75" customHeight="1" x14ac:dyDescent="0.25">
      <c r="A1" s="100" t="s">
        <v>128</v>
      </c>
      <c r="B1" s="9"/>
      <c r="C1" s="9"/>
      <c r="D1" s="9"/>
      <c r="E1" s="9"/>
      <c r="F1" s="9"/>
      <c r="G1" s="9"/>
      <c r="H1" s="9"/>
    </row>
    <row r="2" spans="1:21" ht="17.5" x14ac:dyDescent="0.35">
      <c r="A2" s="94" t="s">
        <v>73</v>
      </c>
      <c r="B2" s="9"/>
      <c r="C2" s="184"/>
      <c r="D2" s="185"/>
      <c r="E2" s="9"/>
      <c r="F2" s="9"/>
      <c r="G2" s="9"/>
      <c r="H2" s="9"/>
      <c r="U2" s="26"/>
    </row>
    <row r="3" spans="1:21" ht="12.5" x14ac:dyDescent="0.25">
      <c r="A3" s="9"/>
      <c r="B3" s="9"/>
      <c r="C3" s="9"/>
      <c r="D3" s="9"/>
      <c r="E3" s="9"/>
      <c r="F3" s="9"/>
      <c r="G3" s="9"/>
      <c r="H3" s="9"/>
    </row>
    <row r="4" spans="1:21" ht="12.5" x14ac:dyDescent="0.25">
      <c r="A4" s="27" t="s">
        <v>1</v>
      </c>
      <c r="B4" s="9"/>
      <c r="C4" s="9"/>
      <c r="D4" s="9"/>
      <c r="E4" s="27" t="s">
        <v>2</v>
      </c>
      <c r="F4" s="9"/>
      <c r="G4" s="9"/>
    </row>
    <row r="5" spans="1:21" ht="12.5" x14ac:dyDescent="0.25">
      <c r="A5" s="9" t="s">
        <v>3</v>
      </c>
      <c r="B5" s="186"/>
      <c r="C5" s="186"/>
      <c r="D5" s="186"/>
      <c r="E5" s="9" t="s">
        <v>4</v>
      </c>
      <c r="F5" s="186"/>
      <c r="G5" s="186"/>
      <c r="H5" s="186"/>
      <c r="I5" s="186"/>
    </row>
    <row r="6" spans="1:21" ht="12.5" x14ac:dyDescent="0.25">
      <c r="A6" s="9" t="s">
        <v>5</v>
      </c>
      <c r="B6" s="186"/>
      <c r="C6" s="186"/>
      <c r="D6" s="186"/>
      <c r="E6" s="9" t="s">
        <v>6</v>
      </c>
      <c r="F6" s="186"/>
      <c r="G6" s="186"/>
      <c r="H6" s="186"/>
      <c r="I6" s="186"/>
    </row>
    <row r="7" spans="1:21" ht="12.5" x14ac:dyDescent="0.25">
      <c r="A7" s="9" t="s">
        <v>7</v>
      </c>
      <c r="B7" s="187"/>
      <c r="C7" s="186"/>
      <c r="D7" s="186"/>
      <c r="E7" s="9"/>
      <c r="F7" s="9"/>
      <c r="G7" s="9"/>
      <c r="H7" s="9"/>
      <c r="U7" s="13"/>
    </row>
    <row r="8" spans="1:21" ht="12.5" x14ac:dyDescent="0.25">
      <c r="A8" s="9" t="s">
        <v>74</v>
      </c>
      <c r="B8" s="212"/>
      <c r="C8" s="212"/>
      <c r="D8" s="212"/>
      <c r="E8" s="212"/>
      <c r="F8" s="212"/>
      <c r="G8" s="212"/>
      <c r="H8" s="212"/>
      <c r="I8" s="212"/>
      <c r="U8" s="13"/>
    </row>
    <row r="9" spans="1:21" ht="12.5" x14ac:dyDescent="0.25">
      <c r="A9" s="9"/>
      <c r="B9" s="28"/>
      <c r="C9" s="9"/>
      <c r="D9" s="9"/>
      <c r="E9" s="9"/>
      <c r="F9" s="9"/>
      <c r="G9" s="9"/>
      <c r="H9" s="36" t="e">
        <f>40/(940/C10)</f>
        <v>#DIV/0!</v>
      </c>
      <c r="U9" s="13"/>
    </row>
    <row r="10" spans="1:21" ht="12.5" x14ac:dyDescent="0.25">
      <c r="A10" s="29" t="s">
        <v>8</v>
      </c>
      <c r="B10" s="13"/>
      <c r="C10" s="4"/>
      <c r="E10" s="29" t="s">
        <v>9</v>
      </c>
      <c r="F10" s="9"/>
      <c r="H10" s="147"/>
      <c r="U10" s="13"/>
    </row>
    <row r="11" spans="1:21" ht="13" thickBot="1" x14ac:dyDescent="0.3">
      <c r="A11" s="30"/>
      <c r="B11" s="30"/>
      <c r="C11" s="30"/>
      <c r="D11" s="30"/>
      <c r="E11" s="30"/>
      <c r="F11" s="30"/>
      <c r="G11" s="30"/>
      <c r="H11" s="30"/>
      <c r="I11" s="30"/>
      <c r="J11" s="31"/>
      <c r="K11" s="83" t="s">
        <v>10</v>
      </c>
      <c r="L11" s="31"/>
      <c r="M11" s="31"/>
      <c r="N11" s="31"/>
      <c r="O11" s="31"/>
    </row>
    <row r="12" spans="1:21" ht="12.5" x14ac:dyDescent="0.25">
      <c r="A12" s="9"/>
      <c r="B12" s="9"/>
      <c r="C12" s="9"/>
      <c r="D12" s="9"/>
      <c r="E12" s="9"/>
      <c r="F12" s="9"/>
      <c r="G12" s="9"/>
      <c r="H12" s="9"/>
      <c r="K12" s="188" t="s">
        <v>75</v>
      </c>
      <c r="L12" s="188"/>
      <c r="M12" s="188"/>
      <c r="N12" s="188"/>
      <c r="O12" s="188"/>
      <c r="P12" s="32"/>
      <c r="Q12" s="32"/>
    </row>
    <row r="13" spans="1:21" ht="14.25" customHeight="1" x14ac:dyDescent="0.3">
      <c r="A13" s="84" t="s">
        <v>76</v>
      </c>
      <c r="B13" s="85"/>
      <c r="C13" s="9"/>
      <c r="D13" s="9"/>
      <c r="E13" s="9"/>
      <c r="F13" s="9"/>
      <c r="G13" s="9"/>
      <c r="I13" s="36"/>
      <c r="K13" s="189"/>
      <c r="L13" s="189"/>
      <c r="M13" s="189"/>
      <c r="N13" s="189"/>
      <c r="O13" s="189"/>
      <c r="P13" s="32"/>
      <c r="Q13" s="32"/>
    </row>
    <row r="14" spans="1:21" ht="14.25" customHeight="1" x14ac:dyDescent="0.3">
      <c r="A14" s="84"/>
      <c r="B14" s="85"/>
      <c r="C14" s="9"/>
      <c r="D14" s="9"/>
      <c r="E14" s="9"/>
      <c r="F14" s="9"/>
      <c r="G14" s="9"/>
      <c r="H14" s="36"/>
      <c r="I14" s="36"/>
      <c r="K14" s="189"/>
      <c r="L14" s="189"/>
      <c r="M14" s="189"/>
      <c r="N14" s="189"/>
      <c r="O14" s="189"/>
      <c r="P14" s="32"/>
      <c r="Q14" s="32"/>
    </row>
    <row r="15" spans="1:21" ht="12.5" x14ac:dyDescent="0.25">
      <c r="A15" s="13"/>
      <c r="B15" s="199" t="s">
        <v>77</v>
      </c>
      <c r="C15" s="199"/>
      <c r="D15" s="199"/>
      <c r="E15" s="9"/>
      <c r="F15" s="199" t="s">
        <v>78</v>
      </c>
      <c r="G15" s="199"/>
      <c r="H15" s="199"/>
      <c r="I15" s="155"/>
      <c r="K15" s="189"/>
      <c r="L15" s="189"/>
      <c r="M15" s="189"/>
      <c r="N15" s="189"/>
      <c r="O15" s="189"/>
      <c r="P15" s="32"/>
      <c r="Q15" s="32"/>
    </row>
    <row r="16" spans="1:21" ht="12.75" customHeight="1" x14ac:dyDescent="0.25">
      <c r="A16" s="86"/>
      <c r="B16" s="202" t="s">
        <v>79</v>
      </c>
      <c r="C16" s="201" t="s">
        <v>80</v>
      </c>
      <c r="D16" s="201"/>
      <c r="E16" s="87"/>
      <c r="F16" s="202" t="s">
        <v>79</v>
      </c>
      <c r="G16" s="201" t="s">
        <v>80</v>
      </c>
      <c r="H16" s="201"/>
      <c r="I16" s="156"/>
      <c r="K16" s="200" t="s">
        <v>81</v>
      </c>
      <c r="L16" s="200"/>
      <c r="M16" s="200"/>
      <c r="N16" s="200"/>
      <c r="O16" s="200"/>
      <c r="P16" s="32"/>
      <c r="Q16" s="32"/>
    </row>
    <row r="17" spans="1:20" ht="12.75" customHeight="1" x14ac:dyDescent="0.25">
      <c r="A17" s="34"/>
      <c r="B17" s="203"/>
      <c r="C17" s="35" t="s">
        <v>82</v>
      </c>
      <c r="D17" s="87" t="s">
        <v>83</v>
      </c>
      <c r="E17" s="87"/>
      <c r="F17" s="203"/>
      <c r="G17" s="35" t="s">
        <v>82</v>
      </c>
      <c r="H17" s="87" t="s">
        <v>83</v>
      </c>
      <c r="I17" s="87"/>
      <c r="K17" s="200"/>
      <c r="L17" s="200"/>
      <c r="M17" s="200"/>
      <c r="N17" s="200"/>
      <c r="O17" s="200"/>
      <c r="P17" s="32"/>
      <c r="Q17" s="32"/>
    </row>
    <row r="18" spans="1:20" ht="12.75" customHeight="1" x14ac:dyDescent="0.25">
      <c r="A18" s="112" t="s">
        <v>15</v>
      </c>
      <c r="B18" s="1"/>
      <c r="C18" s="23"/>
      <c r="D18" s="23"/>
      <c r="E18" s="38"/>
      <c r="F18" s="1"/>
      <c r="G18" s="23"/>
      <c r="H18" s="23"/>
      <c r="I18" s="38"/>
      <c r="K18" s="200"/>
      <c r="L18" s="200"/>
      <c r="M18" s="200"/>
      <c r="N18" s="200"/>
      <c r="O18" s="200"/>
      <c r="P18" s="32"/>
      <c r="Q18" s="32"/>
    </row>
    <row r="19" spans="1:20" ht="12.5" x14ac:dyDescent="0.25">
      <c r="A19" s="112" t="s">
        <v>16</v>
      </c>
      <c r="B19" s="1"/>
      <c r="C19" s="23"/>
      <c r="D19" s="23"/>
      <c r="E19" s="38"/>
      <c r="F19" s="1"/>
      <c r="G19" s="23"/>
      <c r="H19" s="23"/>
      <c r="I19" s="38"/>
      <c r="K19" s="200"/>
      <c r="L19" s="200"/>
      <c r="M19" s="200"/>
      <c r="N19" s="200"/>
      <c r="O19" s="200"/>
      <c r="P19" s="32"/>
      <c r="Q19" s="32"/>
    </row>
    <row r="20" spans="1:20" ht="12.75" customHeight="1" x14ac:dyDescent="0.25">
      <c r="A20" s="112" t="s">
        <v>17</v>
      </c>
      <c r="B20" s="1"/>
      <c r="C20" s="23"/>
      <c r="D20" s="23"/>
      <c r="E20" s="38"/>
      <c r="F20" s="1"/>
      <c r="G20" s="23"/>
      <c r="H20" s="23"/>
      <c r="I20" s="38"/>
      <c r="K20" s="200"/>
      <c r="L20" s="200"/>
      <c r="M20" s="200"/>
      <c r="N20" s="200"/>
      <c r="O20" s="200"/>
      <c r="P20" s="32"/>
      <c r="Q20" s="32"/>
    </row>
    <row r="21" spans="1:20" ht="12.75" customHeight="1" x14ac:dyDescent="0.25">
      <c r="A21" s="112" t="s">
        <v>19</v>
      </c>
      <c r="B21" s="1"/>
      <c r="C21" s="23"/>
      <c r="D21" s="23"/>
      <c r="E21" s="38"/>
      <c r="F21" s="1"/>
      <c r="G21" s="23"/>
      <c r="H21" s="23"/>
      <c r="I21" s="38"/>
      <c r="K21" s="200"/>
      <c r="L21" s="200"/>
      <c r="M21" s="200"/>
      <c r="N21" s="200"/>
      <c r="O21" s="200"/>
      <c r="P21" s="32"/>
      <c r="Q21" s="32"/>
    </row>
    <row r="22" spans="1:20" ht="12.75" customHeight="1" x14ac:dyDescent="0.25">
      <c r="A22" s="112" t="s">
        <v>20</v>
      </c>
      <c r="B22" s="1"/>
      <c r="C22" s="23"/>
      <c r="D22" s="23"/>
      <c r="E22" s="38"/>
      <c r="F22" s="1"/>
      <c r="G22" s="23"/>
      <c r="H22" s="23"/>
      <c r="I22" s="38"/>
      <c r="K22" s="200"/>
      <c r="L22" s="200"/>
      <c r="M22" s="200"/>
      <c r="N22" s="200"/>
      <c r="O22" s="200"/>
      <c r="P22" s="32"/>
      <c r="Q22" s="32"/>
    </row>
    <row r="23" spans="1:20" ht="12.5" x14ac:dyDescent="0.25">
      <c r="A23" s="113" t="s">
        <v>21</v>
      </c>
      <c r="B23" s="40">
        <f>SUM(B18:B22)</f>
        <v>0</v>
      </c>
      <c r="C23" s="198">
        <f>SUM(C18:D22)</f>
        <v>0</v>
      </c>
      <c r="D23" s="198"/>
      <c r="E23" s="41"/>
      <c r="F23" s="40">
        <f>SUM(F18:F22)</f>
        <v>0</v>
      </c>
      <c r="G23" s="198">
        <f>SUM(G18:H22)</f>
        <v>0</v>
      </c>
      <c r="H23" s="198"/>
      <c r="I23" s="41"/>
      <c r="K23" s="200"/>
      <c r="L23" s="200"/>
      <c r="M23" s="200"/>
      <c r="N23" s="200"/>
      <c r="O23" s="200"/>
      <c r="P23" s="32"/>
      <c r="Q23" s="32"/>
    </row>
    <row r="24" spans="1:20" ht="12.75" customHeight="1" x14ac:dyDescent="0.25">
      <c r="A24" s="13"/>
      <c r="B24" s="9"/>
      <c r="C24" s="205" t="str">
        <f>IF(B37&gt;0,"Totaal exclusief verlofuren","")</f>
        <v/>
      </c>
      <c r="D24" s="205"/>
      <c r="E24" s="205"/>
      <c r="F24" s="102" t="str">
        <f>IF(C24="","",C52/C10)</f>
        <v/>
      </c>
      <c r="G24" s="41"/>
      <c r="H24" s="41"/>
      <c r="I24" s="41"/>
      <c r="J24" s="42"/>
      <c r="K24" s="200"/>
      <c r="L24" s="200"/>
      <c r="M24" s="200"/>
      <c r="N24" s="200"/>
      <c r="O24" s="200"/>
      <c r="P24" s="32"/>
      <c r="Q24" s="32"/>
    </row>
    <row r="25" spans="1:20" ht="12.75" customHeight="1" x14ac:dyDescent="0.25">
      <c r="A25" s="13"/>
      <c r="C25" s="103"/>
      <c r="E25" s="35"/>
      <c r="F25" s="191" t="str">
        <f>IF(B37&gt;0,"Werktijdfactor exclusief verlof duurz. inz.:",IF(G34&gt;0,"Werktijdfactor ouderschapsverlof:",""))</f>
        <v/>
      </c>
      <c r="G25" s="191"/>
      <c r="H25" s="192" t="str">
        <f>IF(B37&gt;0,FLOOR((LEFT(H28,2)/40-(G54/1659))*40,1)&amp;" uur"&amp;IF((ROUND(((LEFT(H28,2)/40-(G54/1659))*40-FLOOR((LEFT(H28,2)/40-(G54/1659))*40,1))*60,0))=0,""," en "&amp;ROUND(((LEFT(H28,2)/40-(G54/1659))*40-FLOOR((LEFT(H28,2)/40-(G54/1659))*40,1))*60,0)&amp;" minuten"),IF(G34&gt;0,FLOOR((LEFT(H28,2)/40-(G54/1659))*40,1)&amp;" uur"&amp;IF((ROUND(((LEFT(H28,2)/40-(G54/1659))*40-FLOOR((LEFT(H28,2)/40-(G54/1659))*40,1))*60,0))=0,""," en "&amp;ROUND(((LEFT(H28,2)/40-(G54/1659))*40-FLOOR((LEFT(H28,2)/40-(G54/1659))*40,1))*60,0)&amp;" minuten"),""))</f>
        <v/>
      </c>
      <c r="I25" s="41"/>
      <c r="J25" s="42"/>
      <c r="K25" s="200"/>
      <c r="L25" s="200"/>
      <c r="M25" s="200"/>
      <c r="N25" s="200"/>
      <c r="O25" s="200"/>
      <c r="P25" s="32"/>
      <c r="Q25" s="32"/>
      <c r="S25" s="166">
        <f ca="1">YEAR(NOW())-YEAR(C35)</f>
        <v>123</v>
      </c>
      <c r="T25">
        <f ca="1">YEAR(NOW())</f>
        <v>2023</v>
      </c>
    </row>
    <row r="26" spans="1:20" ht="12.5" x14ac:dyDescent="0.25">
      <c r="A26" s="13"/>
      <c r="B26" s="13"/>
      <c r="C26" s="13"/>
      <c r="D26" s="9"/>
      <c r="E26" s="9"/>
      <c r="F26" s="191"/>
      <c r="G26" s="191"/>
      <c r="H26" s="192"/>
      <c r="I26" s="13"/>
      <c r="K26" s="200"/>
      <c r="L26" s="200"/>
      <c r="M26" s="200"/>
      <c r="N26" s="200"/>
      <c r="O26" s="200"/>
      <c r="P26" s="32"/>
      <c r="Q26" s="32"/>
      <c r="S26" s="45">
        <v>21459</v>
      </c>
      <c r="T26" s="160">
        <f ca="1">DATE((T25-57),MONTH(B35),DAY(B35))</f>
        <v>24107</v>
      </c>
    </row>
    <row r="27" spans="1:20" ht="13.5" customHeight="1" thickBot="1" x14ac:dyDescent="0.3">
      <c r="A27" s="34" t="s">
        <v>22</v>
      </c>
      <c r="B27" s="13"/>
      <c r="C27" s="13"/>
      <c r="D27" s="9"/>
      <c r="E27" s="9"/>
      <c r="F27" s="13"/>
      <c r="G27" s="13"/>
      <c r="H27" s="13"/>
      <c r="I27" s="13"/>
      <c r="K27" s="88"/>
      <c r="L27" s="88"/>
      <c r="M27" s="88"/>
      <c r="N27" s="88"/>
      <c r="O27" s="88"/>
      <c r="P27" s="32"/>
      <c r="Q27" s="32"/>
      <c r="S27" s="45"/>
      <c r="T27" s="12" t="str">
        <f>IF(B35="","",IF(B35&lt;=S26,"Overgangsregeling 56+",IF(B35&lt;=T26,"Basis en bijzonder budget","")))</f>
        <v/>
      </c>
    </row>
    <row r="28" spans="1:20" ht="12.75" customHeight="1" x14ac:dyDescent="0.25">
      <c r="A28" s="29" t="s">
        <v>84</v>
      </c>
      <c r="B28" s="13"/>
      <c r="C28" s="13"/>
      <c r="D28" s="3"/>
      <c r="E28" s="89"/>
      <c r="F28" s="181" t="s">
        <v>25</v>
      </c>
      <c r="G28" s="206"/>
      <c r="H28" s="207">
        <f>IFERROR(ROUND((G23-G33/C10*H26+(D28+D28*H10+D29)/41.475),0)&amp;" uur",0)</f>
        <v>0</v>
      </c>
      <c r="K28" s="196" t="s">
        <v>85</v>
      </c>
      <c r="L28" s="196"/>
      <c r="M28" s="196"/>
      <c r="N28" s="196"/>
      <c r="O28" s="196"/>
      <c r="P28" s="32"/>
      <c r="Q28" s="32"/>
      <c r="T28" s="12" t="str">
        <f>IF(B35="","",IF(B35&lt;=S26,"Basis en bijzonder budget",IF(B35&lt;=T26,"Enkel basis budget","")))</f>
        <v/>
      </c>
    </row>
    <row r="29" spans="1:20" ht="13.5" customHeight="1" thickBot="1" x14ac:dyDescent="0.3">
      <c r="A29" s="29" t="s">
        <v>86</v>
      </c>
      <c r="B29" s="13"/>
      <c r="D29" s="3"/>
      <c r="E29" s="89"/>
      <c r="F29" s="181"/>
      <c r="G29" s="206"/>
      <c r="H29" s="208"/>
      <c r="K29" s="196"/>
      <c r="L29" s="196"/>
      <c r="M29" s="196"/>
      <c r="N29" s="196"/>
      <c r="O29" s="196"/>
      <c r="P29" s="32"/>
      <c r="Q29" s="32"/>
      <c r="R29" s="48"/>
      <c r="T29" s="12" t="str">
        <f>IF(B35="","",IF(B35&lt;=S26,"Enkel basis budget",""))</f>
        <v/>
      </c>
    </row>
    <row r="30" spans="1:20" ht="13" thickBot="1" x14ac:dyDescent="0.3">
      <c r="A30" s="49"/>
      <c r="B30" s="49"/>
      <c r="C30" s="49"/>
      <c r="D30" s="50"/>
      <c r="E30" s="50"/>
      <c r="F30" s="124" t="s">
        <v>27</v>
      </c>
      <c r="G30" s="122"/>
      <c r="H30" s="123" t="str">
        <f>IF(H28=0,"",LEFT(H28,2)/40)</f>
        <v/>
      </c>
      <c r="I30" s="49"/>
      <c r="J30" s="51"/>
      <c r="K30" s="197"/>
      <c r="L30" s="197"/>
      <c r="M30" s="197"/>
      <c r="N30" s="197"/>
      <c r="O30" s="197"/>
      <c r="P30" s="32"/>
      <c r="Q30" s="32"/>
    </row>
    <row r="31" spans="1:20" s="11" customFormat="1" ht="12.5" x14ac:dyDescent="0.25">
      <c r="A31" s="13"/>
      <c r="B31" s="13"/>
      <c r="C31" s="13"/>
      <c r="D31" s="9"/>
      <c r="E31" s="9"/>
      <c r="F31" s="13"/>
      <c r="G31" s="13"/>
      <c r="H31" s="13"/>
      <c r="I31" s="13"/>
      <c r="J31" s="43"/>
      <c r="K31" s="193" t="s">
        <v>87</v>
      </c>
      <c r="L31" s="193"/>
      <c r="M31" s="193"/>
      <c r="N31" s="193"/>
      <c r="O31" s="193"/>
      <c r="P31" s="53"/>
      <c r="Q31" s="53"/>
    </row>
    <row r="32" spans="1:20" ht="12.5" x14ac:dyDescent="0.25">
      <c r="A32" s="13" t="s">
        <v>28</v>
      </c>
      <c r="B32" s="13"/>
      <c r="C32" s="13"/>
      <c r="D32" s="9"/>
      <c r="E32" s="9"/>
      <c r="F32" s="13"/>
      <c r="G32" s="13"/>
      <c r="H32" s="13"/>
      <c r="I32" s="13"/>
      <c r="K32" s="169"/>
      <c r="L32" s="169"/>
      <c r="M32" s="169"/>
      <c r="N32" s="169"/>
      <c r="O32" s="169"/>
      <c r="S32" s="12" t="s">
        <v>30</v>
      </c>
    </row>
    <row r="33" spans="1:22" ht="12.5" x14ac:dyDescent="0.25">
      <c r="A33" s="29" t="str">
        <f>'wtf OP, obv lesuren'!A28</f>
        <v>Vrij geroosterde lesuren</v>
      </c>
      <c r="B33" s="210"/>
      <c r="C33" s="211"/>
      <c r="D33" s="54" t="str">
        <f>IF(B33="ja","Aantal lesuren verlof per jaar","")</f>
        <v/>
      </c>
      <c r="E33" s="13"/>
      <c r="F33" s="13"/>
      <c r="G33" s="5"/>
      <c r="H33" s="9"/>
      <c r="I33" s="13"/>
      <c r="K33" s="145"/>
      <c r="L33" s="145"/>
      <c r="M33" s="145"/>
      <c r="N33" s="145"/>
      <c r="O33" s="145"/>
    </row>
    <row r="34" spans="1:22" ht="12.5" x14ac:dyDescent="0.25">
      <c r="A34" s="29" t="s">
        <v>33</v>
      </c>
      <c r="B34" s="210"/>
      <c r="C34" s="211"/>
      <c r="D34" s="9" t="str">
        <f>IF(B34="Ja","Werktijdfactor verlof","")</f>
        <v/>
      </c>
      <c r="E34" s="54"/>
      <c r="F34" s="54"/>
      <c r="G34" s="5"/>
      <c r="H34" s="9"/>
      <c r="I34" s="13"/>
      <c r="K34" s="145"/>
      <c r="L34" s="145"/>
      <c r="M34" s="145"/>
      <c r="N34" s="145"/>
      <c r="O34" s="145"/>
    </row>
    <row r="35" spans="1:22" ht="12.5" x14ac:dyDescent="0.25">
      <c r="A35" s="29" t="s">
        <v>34</v>
      </c>
      <c r="B35" s="210"/>
      <c r="C35" s="211"/>
      <c r="D35" s="9"/>
      <c r="E35" s="195" t="str">
        <f>IF(B37&gt;0,"Verdeling uren verlof duurz. inz.","")</f>
        <v/>
      </c>
      <c r="F35" s="195"/>
      <c r="G35" s="195"/>
      <c r="H35" s="195"/>
      <c r="J35" s="43"/>
      <c r="K35" s="189" t="s">
        <v>88</v>
      </c>
      <c r="L35" s="189"/>
      <c r="M35" s="189"/>
      <c r="N35" s="189"/>
      <c r="O35" s="189"/>
      <c r="P35" s="13"/>
      <c r="Q35" s="13"/>
      <c r="R35" s="55">
        <f>2014-1958</f>
        <v>56</v>
      </c>
      <c r="S35" s="56" t="s">
        <v>36</v>
      </c>
    </row>
    <row r="36" spans="1:22" ht="12.5" x14ac:dyDescent="0.25">
      <c r="A36" s="9" t="str">
        <f>IF(B35="","",IF($B$35&lt;$S$26,"Recht duurzame inzetbaarheid",IF($B$35&lt;=$T$26,"Recht duurzame inzetbaarheid","")))</f>
        <v/>
      </c>
      <c r="B36" s="209"/>
      <c r="C36" s="209"/>
      <c r="E36" s="9"/>
      <c r="F36" s="35" t="str">
        <f>IF(B37&gt;0,"Lesuren","")</f>
        <v/>
      </c>
      <c r="G36" s="35" t="str">
        <f>IF(B37&gt;0,"v/n-werk","")</f>
        <v/>
      </c>
      <c r="H36" s="35" t="str">
        <f>IF(B37&gt;0,"Taakuren","")</f>
        <v/>
      </c>
      <c r="J36" s="43"/>
      <c r="K36" s="189"/>
      <c r="L36" s="189"/>
      <c r="M36" s="189"/>
      <c r="N36" s="189"/>
      <c r="O36" s="189"/>
      <c r="P36" s="13"/>
      <c r="Q36" s="13"/>
      <c r="S36" s="56" t="s">
        <v>37</v>
      </c>
      <c r="U36" s="105">
        <f>G34*1659</f>
        <v>0</v>
      </c>
      <c r="V36" s="105"/>
    </row>
    <row r="37" spans="1:22" ht="12.5" x14ac:dyDescent="0.25">
      <c r="A37" s="9" t="str">
        <f>IF(B36="","",IF(B36="Overgangsregeling 52+","Aantal uur verlof",IF(B36="Overgangsregeling 56+","Aantal uur verlof",IF(B36="Basis en bijzonder budget","Aantal uur verlof",""))))</f>
        <v/>
      </c>
      <c r="B37" s="151"/>
      <c r="C37" s="57" t="str">
        <f>IF(B36="Overgangsregeling 56+",ROUND(170*LEFT(H28,2)/40,0)&amp;" - "&amp;ROUND(340*LEFT(H28,2)/40,0),IF(B36="Overgangsregeling 52+","0 - "&amp;ROUND(170*LEFT(H28,2)/40,0),IF(B36="Basis en bijzonder budget","0 - "&amp;ROUND(170*LEFT(H28,2)/40,0),"")))</f>
        <v/>
      </c>
      <c r="D37" s="9" t="str">
        <f>IF(G34&gt;0,"Lesuren","")</f>
        <v/>
      </c>
      <c r="E37" s="9" t="str">
        <f>IFERROR(ROUND(IF(G34&gt;0,U37*U36,""),0),"")</f>
        <v/>
      </c>
      <c r="F37" s="157"/>
      <c r="G37" s="157"/>
      <c r="H37" s="157"/>
      <c r="I37" s="13"/>
      <c r="J37" s="43"/>
      <c r="K37" s="189"/>
      <c r="L37" s="189"/>
      <c r="M37" s="189"/>
      <c r="N37" s="189"/>
      <c r="O37" s="189"/>
      <c r="P37" s="13"/>
      <c r="Q37" s="13"/>
      <c r="S37" s="104">
        <f>ROUND(F23*C10+D28-G33,0)</f>
        <v>0</v>
      </c>
      <c r="T37" s="105"/>
      <c r="U37" s="106" t="e">
        <f>S37/SUM($S$37:$S$42)</f>
        <v>#DIV/0!</v>
      </c>
      <c r="V37" s="105" t="str">
        <f>IFERROR(U37*$U$36,"")</f>
        <v/>
      </c>
    </row>
    <row r="38" spans="1:22" ht="12.5" x14ac:dyDescent="0.25">
      <c r="A38" s="177" t="str">
        <f>IF(G34&gt;0,"Verdeling uren ouderschapsverlof","")</f>
        <v/>
      </c>
      <c r="B38" s="177"/>
      <c r="C38" s="177"/>
      <c r="D38" s="9" t="str">
        <f>IF(G34&gt;0,"v/n-werk","")</f>
        <v/>
      </c>
      <c r="E38" s="9"/>
      <c r="F38" s="114" t="str">
        <f>IFERROR(ROUND(IF(G34&gt;0,U39*U36,""),0),"")</f>
        <v/>
      </c>
      <c r="G38" s="115" t="str">
        <f>IF(B37&gt;0,IF(B37&gt;SUM(F37:H37),"nog "&amp;B37-SUM(F37:H37)&amp;" uur",IF(B37=SUM(F37:H37),"verdeeld","te veel uren")),IF(G34&gt;0,"Taakuren",""))</f>
        <v/>
      </c>
      <c r="H38" s="9" t="str">
        <f>IFERROR(ROUND(IF(G34&gt;0,U42*U36,""),0),"")</f>
        <v/>
      </c>
      <c r="I38" s="13"/>
      <c r="J38" s="43"/>
      <c r="K38" s="189"/>
      <c r="L38" s="189"/>
      <c r="M38" s="189"/>
      <c r="N38" s="189"/>
      <c r="O38" s="189"/>
      <c r="P38" s="13"/>
      <c r="Q38" s="13"/>
      <c r="S38" s="104"/>
      <c r="T38" s="105"/>
      <c r="U38" s="106"/>
      <c r="V38" s="105"/>
    </row>
    <row r="39" spans="1:22" ht="13" thickBot="1" x14ac:dyDescent="0.3">
      <c r="A39" s="59"/>
      <c r="B39" s="49"/>
      <c r="C39" s="49"/>
      <c r="D39" s="110" t="str">
        <f>IF(G34&gt;0,"Professionalisering","")</f>
        <v/>
      </c>
      <c r="E39" s="50"/>
      <c r="F39" s="109" t="str">
        <f>IFERROR(ROUND(IF(G34&gt;0,U40*U36,""),0),"")</f>
        <v/>
      </c>
      <c r="G39" s="111" t="str">
        <f>IF(G34&gt;0,"Duurz. inz.","")</f>
        <v/>
      </c>
      <c r="H39" s="108" t="str">
        <f>IFERROR(ROUND(IF(G34&gt;0,U41*U36,""),0),"")</f>
        <v/>
      </c>
      <c r="I39" s="49"/>
      <c r="J39" s="51"/>
      <c r="K39" s="194"/>
      <c r="L39" s="194"/>
      <c r="M39" s="194"/>
      <c r="N39" s="194"/>
      <c r="O39" s="194"/>
      <c r="P39" s="13"/>
      <c r="Q39" s="13"/>
      <c r="S39" s="105">
        <f>ROUND(S37*H10,0)</f>
        <v>0</v>
      </c>
      <c r="T39" s="104">
        <f>S37+S39</f>
        <v>0</v>
      </c>
      <c r="U39" s="106" t="e">
        <f t="shared" ref="U39:U42" si="0">S39/SUM($S$37:$S$42)</f>
        <v>#DIV/0!</v>
      </c>
      <c r="V39" s="105" t="e">
        <f t="shared" ref="V39:V42" si="1">U39*$U$36</f>
        <v>#DIV/0!</v>
      </c>
    </row>
    <row r="40" spans="1:22" ht="12.5" x14ac:dyDescent="0.25">
      <c r="A40" s="29"/>
      <c r="B40" s="13"/>
      <c r="C40" s="13"/>
      <c r="D40" s="9"/>
      <c r="E40" s="9"/>
      <c r="F40" s="13"/>
      <c r="G40" s="13"/>
      <c r="H40" s="13"/>
      <c r="I40" s="13"/>
      <c r="J40" s="43"/>
      <c r="K40" s="13"/>
      <c r="L40" s="13"/>
      <c r="M40" s="13"/>
      <c r="N40" s="13"/>
      <c r="O40" s="13"/>
      <c r="P40" s="13"/>
      <c r="Q40" s="13"/>
      <c r="S40" s="104">
        <f>ROUND(LEFT(H28,2)/40*2*41.475,0)</f>
        <v>0</v>
      </c>
      <c r="T40" s="105"/>
      <c r="U40" s="106" t="e">
        <f t="shared" si="0"/>
        <v>#DIV/0!</v>
      </c>
      <c r="V40" s="105" t="e">
        <f t="shared" si="1"/>
        <v>#DIV/0!</v>
      </c>
    </row>
    <row r="41" spans="1:22" ht="12.5" x14ac:dyDescent="0.25">
      <c r="A41" s="13" t="s">
        <v>38</v>
      </c>
      <c r="B41" s="13"/>
      <c r="C41" s="13"/>
      <c r="D41" s="9"/>
      <c r="E41" s="9"/>
      <c r="F41" s="13"/>
      <c r="G41" s="13"/>
      <c r="H41" s="13"/>
      <c r="I41" s="13"/>
      <c r="J41" s="43"/>
      <c r="K41" s="167" t="s">
        <v>40</v>
      </c>
      <c r="L41" s="167"/>
      <c r="M41" s="167"/>
      <c r="N41" s="167"/>
      <c r="O41" s="167"/>
      <c r="P41" s="13"/>
      <c r="Q41" s="13"/>
      <c r="R41" s="12" t="str">
        <f>IF(B37&gt;0,IF(B37&gt;SUM(F37:H37),"nog "&amp;B37-SUM(F37:H37)&amp;" uren te vullen",IF(B37=SUM(F37:H37),"verlof is verdeeld","te veel verlofuren ingevuld")),"")</f>
        <v/>
      </c>
      <c r="S41" s="104">
        <f>ROUND(IF(A37="",ROUND(LEFT(H28,2)/40*40,0),ROUND(VLOOKUP(B36,$S$51:$T$55,2,FALSE)*LEFT(H28,2)/40,0))-B37,0)</f>
        <v>0</v>
      </c>
      <c r="T41" s="105"/>
      <c r="U41" s="106" t="e">
        <f t="shared" si="0"/>
        <v>#DIV/0!</v>
      </c>
      <c r="V41" s="105" t="e">
        <f t="shared" si="1"/>
        <v>#DIV/0!</v>
      </c>
    </row>
    <row r="42" spans="1:22" ht="12.5" x14ac:dyDescent="0.25">
      <c r="A42" s="151" t="s">
        <v>39</v>
      </c>
      <c r="B42" s="13"/>
      <c r="C42" s="22"/>
      <c r="D42" s="9"/>
      <c r="E42" s="9"/>
      <c r="F42" s="13"/>
      <c r="G42" s="13"/>
      <c r="H42" s="13"/>
      <c r="I42" s="13"/>
      <c r="J42" s="43"/>
      <c r="K42" s="167"/>
      <c r="L42" s="167"/>
      <c r="M42" s="167"/>
      <c r="N42" s="167"/>
      <c r="O42" s="167"/>
      <c r="P42" s="13"/>
      <c r="Q42" s="13"/>
      <c r="S42" s="105">
        <f>IFERROR(ROUND(T59,0),0)</f>
        <v>0</v>
      </c>
      <c r="T42" s="105"/>
      <c r="U42" s="106" t="e">
        <f t="shared" si="0"/>
        <v>#DIV/0!</v>
      </c>
      <c r="V42" s="105" t="e">
        <f t="shared" si="1"/>
        <v>#DIV/0!</v>
      </c>
    </row>
    <row r="43" spans="1:22" ht="12.5" x14ac:dyDescent="0.25">
      <c r="A43" s="151" t="s">
        <v>41</v>
      </c>
      <c r="B43" s="13"/>
      <c r="C43" s="22"/>
      <c r="D43" s="9"/>
      <c r="E43" s="9"/>
      <c r="F43" s="13"/>
      <c r="G43" s="13"/>
      <c r="H43" s="13"/>
      <c r="I43" s="13"/>
      <c r="J43" s="43"/>
      <c r="K43" s="167"/>
      <c r="L43" s="167"/>
      <c r="M43" s="167"/>
      <c r="N43" s="167"/>
      <c r="O43" s="167"/>
      <c r="S43" s="56"/>
    </row>
    <row r="44" spans="1:22" ht="12.5" x14ac:dyDescent="0.25">
      <c r="A44" s="151" t="s">
        <v>42</v>
      </c>
      <c r="B44" s="13"/>
      <c r="C44" s="22"/>
      <c r="D44" s="9"/>
      <c r="E44" s="9"/>
      <c r="F44" s="13"/>
      <c r="G44" s="13"/>
      <c r="H44" s="13"/>
      <c r="I44" s="13"/>
      <c r="J44" s="43"/>
      <c r="K44" s="167"/>
      <c r="L44" s="167"/>
      <c r="M44" s="167"/>
      <c r="N44" s="167"/>
      <c r="O44" s="167"/>
      <c r="P44" s="13"/>
      <c r="Q44" s="13"/>
      <c r="S44" s="56"/>
    </row>
    <row r="45" spans="1:22" ht="12.5" x14ac:dyDescent="0.25">
      <c r="A45" s="151" t="s">
        <v>43</v>
      </c>
      <c r="B45" s="13"/>
      <c r="C45" s="22"/>
      <c r="D45" s="9"/>
      <c r="E45" s="9"/>
      <c r="F45" s="13"/>
      <c r="G45" s="13"/>
      <c r="H45" s="13"/>
      <c r="I45" s="13"/>
      <c r="J45" s="43"/>
      <c r="K45" s="43"/>
      <c r="L45" s="43"/>
      <c r="M45" s="43"/>
      <c r="N45" s="43"/>
      <c r="O45" s="43"/>
      <c r="P45" s="13"/>
      <c r="Q45" s="13"/>
      <c r="S45" s="56"/>
    </row>
    <row r="46" spans="1:22" ht="12.5" x14ac:dyDescent="0.25">
      <c r="A46" s="13" t="s">
        <v>21</v>
      </c>
      <c r="B46" s="13"/>
      <c r="C46" s="60">
        <f>SUM(C42:C45)</f>
        <v>0</v>
      </c>
      <c r="D46" s="9"/>
      <c r="E46" s="9"/>
      <c r="F46" s="13"/>
      <c r="G46" s="13"/>
      <c r="H46" s="13"/>
      <c r="I46" s="13"/>
      <c r="J46" s="43"/>
      <c r="K46" s="43"/>
      <c r="L46" s="43"/>
      <c r="M46" s="43"/>
      <c r="N46" s="43"/>
      <c r="O46" s="43"/>
      <c r="P46" s="13"/>
      <c r="Q46" s="13"/>
      <c r="S46" s="56"/>
    </row>
    <row r="47" spans="1:22" ht="13" thickBot="1" x14ac:dyDescent="0.3">
      <c r="A47" s="61"/>
      <c r="B47" s="62"/>
      <c r="C47" s="62"/>
      <c r="D47" s="63"/>
      <c r="E47" s="63"/>
      <c r="F47" s="62"/>
      <c r="G47" s="62"/>
      <c r="H47" s="62"/>
      <c r="I47" s="62"/>
      <c r="J47" s="90"/>
      <c r="K47" s="43"/>
      <c r="L47" s="43"/>
      <c r="M47" s="43"/>
      <c r="N47" s="43"/>
      <c r="O47" s="43"/>
      <c r="P47" s="13"/>
      <c r="Q47" s="13"/>
      <c r="S47" s="56"/>
    </row>
    <row r="48" spans="1:22" ht="12.5" x14ac:dyDescent="0.25">
      <c r="A48" s="13"/>
      <c r="B48" s="13"/>
      <c r="C48" s="13"/>
      <c r="D48" s="9"/>
      <c r="E48" s="9"/>
      <c r="F48" s="13"/>
      <c r="G48" s="13"/>
      <c r="H48" s="18"/>
      <c r="I48" s="18"/>
      <c r="S48" s="12" t="str">
        <f>IF(B36="Overgangsregeling 56+",ROUND(340*LEFT(H28,2)/40,0),IF(B36="Overgangsregeling 52+",ROUND(170*LEFT(H28,2)/40,0),IF(B36="Basis en bijzonder budget",ROUND(170*LEFT(H28,2)/40,0),"")))</f>
        <v/>
      </c>
    </row>
    <row r="49" spans="1:20" ht="12.5" x14ac:dyDescent="0.25">
      <c r="A49" s="18" t="s">
        <v>44</v>
      </c>
      <c r="B49" s="13"/>
      <c r="C49" s="13"/>
      <c r="D49" s="9"/>
      <c r="E49" s="9"/>
      <c r="F49" s="13"/>
      <c r="G49" s="13"/>
      <c r="H49" s="18"/>
      <c r="I49" s="18"/>
    </row>
    <row r="50" spans="1:20" ht="12.5" x14ac:dyDescent="0.25">
      <c r="A50" s="18"/>
      <c r="B50" s="13"/>
      <c r="C50" s="13"/>
      <c r="D50" s="9"/>
      <c r="E50" s="9"/>
      <c r="F50" s="13"/>
      <c r="G50" s="18"/>
      <c r="H50" s="18"/>
      <c r="I50" s="18"/>
    </row>
    <row r="51" spans="1:20" ht="12.5" x14ac:dyDescent="0.25">
      <c r="A51" s="18" t="s">
        <v>45</v>
      </c>
      <c r="B51" s="9"/>
      <c r="C51" s="13"/>
      <c r="E51" s="65" t="s">
        <v>46</v>
      </c>
      <c r="F51" s="13"/>
      <c r="G51" s="18"/>
      <c r="H51" s="9"/>
      <c r="S51" s="12" t="s">
        <v>47</v>
      </c>
      <c r="T51" s="12">
        <v>170</v>
      </c>
    </row>
    <row r="52" spans="1:20" ht="12.5" x14ac:dyDescent="0.25">
      <c r="A52" s="66" t="s">
        <v>48</v>
      </c>
      <c r="C52" s="93">
        <f>IFERROR(ROUND(IF(G34&gt;0,T57-V37,T57-F37),0),0)</f>
        <v>0</v>
      </c>
      <c r="D52" s="68"/>
      <c r="E52" s="66" t="s">
        <v>49</v>
      </c>
      <c r="F52" s="18"/>
      <c r="G52" s="69">
        <f>IFERROR(ROUND(LEFT(H28,2)/40*2*41.475-V40,0),0)</f>
        <v>0</v>
      </c>
      <c r="H52" s="9"/>
      <c r="S52" s="12" t="s">
        <v>50</v>
      </c>
      <c r="T52" s="12">
        <v>340</v>
      </c>
    </row>
    <row r="53" spans="1:20" ht="12.5" x14ac:dyDescent="0.25">
      <c r="A53" s="66" t="s">
        <v>51</v>
      </c>
      <c r="B53" s="66"/>
      <c r="C53" s="93">
        <f>IFERROR(ROUND(IF(G34&gt;0,T58-V39,IF(B37&gt;0,T58-G37,T58)),0),0)</f>
        <v>0</v>
      </c>
      <c r="D53" s="67"/>
      <c r="E53" s="66" t="s">
        <v>89</v>
      </c>
      <c r="F53" s="18"/>
      <c r="G53" s="69">
        <f>IFERROR(ROUND(IF(A37="",ROUND(LEFT(H28,2)/40*40,0),ROUND(VLOOKUP(B36,$S$51:$T$55,2,FALSE)*LEFT(H28,2)/40,0))-B37-V41,0),0)</f>
        <v>0</v>
      </c>
      <c r="H53" s="72"/>
      <c r="I53" s="72"/>
      <c r="K53" s="71"/>
      <c r="L53" s="71"/>
      <c r="M53" s="71"/>
      <c r="N53" s="71"/>
      <c r="O53" s="71"/>
      <c r="P53" s="72"/>
      <c r="Q53" s="72"/>
      <c r="S53" s="12" t="s">
        <v>53</v>
      </c>
      <c r="T53" s="12">
        <v>170</v>
      </c>
    </row>
    <row r="54" spans="1:20" ht="13" thickBot="1" x14ac:dyDescent="0.3">
      <c r="A54" s="66" t="s">
        <v>54</v>
      </c>
      <c r="B54" s="66"/>
      <c r="C54" s="93">
        <f>C46</f>
        <v>0</v>
      </c>
      <c r="D54" s="67"/>
      <c r="E54" s="9" t="str">
        <f>IF(B37&gt;0,"Verlof duurz. inz.",IF(G34&gt;0,"Ouderschapsverlof",""))</f>
        <v/>
      </c>
      <c r="F54" s="9"/>
      <c r="G54" s="69">
        <f>ROUND(IF(E54="",0,IF(B37&gt;0,B37,U36)),0)</f>
        <v>0</v>
      </c>
      <c r="H54" s="72"/>
      <c r="I54" s="72"/>
      <c r="K54" s="71"/>
      <c r="L54" s="71"/>
      <c r="M54" s="71"/>
      <c r="N54" s="71"/>
      <c r="O54" s="71"/>
      <c r="P54" s="72"/>
      <c r="Q54" s="72"/>
    </row>
    <row r="55" spans="1:20" ht="13" thickBot="1" x14ac:dyDescent="0.3">
      <c r="A55" s="74" t="s">
        <v>55</v>
      </c>
      <c r="B55" s="74"/>
      <c r="C55" s="96">
        <f>SUM(C52:C54)</f>
        <v>0</v>
      </c>
      <c r="D55" s="16"/>
      <c r="E55" s="13" t="s">
        <v>21</v>
      </c>
      <c r="F55" s="18"/>
      <c r="G55" s="76">
        <f>SUM(G52:G54)</f>
        <v>0</v>
      </c>
      <c r="H55" s="9"/>
      <c r="S55" s="56" t="s">
        <v>56</v>
      </c>
      <c r="T55" s="56">
        <v>40</v>
      </c>
    </row>
    <row r="56" spans="1:20" ht="12.5" x14ac:dyDescent="0.25">
      <c r="A56" s="149"/>
      <c r="B56" s="13"/>
      <c r="C56" s="16"/>
      <c r="D56" s="13"/>
      <c r="E56" s="13"/>
      <c r="F56" s="18"/>
      <c r="G56" s="18"/>
      <c r="H56" s="9"/>
    </row>
    <row r="57" spans="1:20" ht="12.5" x14ac:dyDescent="0.25">
      <c r="A57" s="33" t="s">
        <v>57</v>
      </c>
      <c r="C57" s="74"/>
      <c r="D57" s="16"/>
      <c r="E57" s="168" t="str">
        <f>IF(C101&lt;0,"LET OP:","")</f>
        <v/>
      </c>
      <c r="F57" s="168"/>
      <c r="G57" s="168"/>
      <c r="H57" s="168"/>
      <c r="K57" s="169" t="s">
        <v>90</v>
      </c>
      <c r="L57" s="169"/>
      <c r="M57" s="169"/>
      <c r="N57" s="169"/>
      <c r="O57" s="169"/>
      <c r="S57" s="66" t="s">
        <v>48</v>
      </c>
      <c r="T57" s="12">
        <f>ROUND(F23*C10+D28-G33,0)</f>
        <v>0</v>
      </c>
    </row>
    <row r="58" spans="1:20" ht="12.5" x14ac:dyDescent="0.25">
      <c r="A58" s="7" t="s">
        <v>59</v>
      </c>
      <c r="B58" s="9"/>
      <c r="C58" s="15"/>
      <c r="D58" s="9"/>
      <c r="E58" s="168"/>
      <c r="F58" s="168"/>
      <c r="G58" s="168"/>
      <c r="H58" s="168"/>
      <c r="K58" s="169"/>
      <c r="L58" s="169"/>
      <c r="M58" s="169"/>
      <c r="N58" s="169"/>
      <c r="O58" s="169"/>
      <c r="S58" s="66" t="s">
        <v>51</v>
      </c>
      <c r="T58" s="12">
        <f>ROUND(T57*H10,0)</f>
        <v>0</v>
      </c>
    </row>
    <row r="59" spans="1:20" ht="12.75" customHeight="1" x14ac:dyDescent="0.25">
      <c r="A59" s="24" t="s">
        <v>60</v>
      </c>
      <c r="B59" s="9"/>
      <c r="C59" s="15"/>
      <c r="D59" s="204" t="str">
        <f>IF(C101&lt;0,"De werktijdfactor is te laag om adeze taken te kunnen vervullen. Vul in cel D29 extra uren in of verstrek een extra dagdeel.","")</f>
        <v/>
      </c>
      <c r="E59" s="170"/>
      <c r="F59" s="170"/>
      <c r="G59" s="170"/>
      <c r="H59" s="170"/>
      <c r="K59" s="169"/>
      <c r="L59" s="169"/>
      <c r="M59" s="169"/>
      <c r="N59" s="169"/>
      <c r="O59" s="169"/>
      <c r="S59" s="8" t="s">
        <v>70</v>
      </c>
      <c r="T59" s="12">
        <f>ROUND(1659*(LEFT(H28,2)/40)-T58-T57-ROUND(IF(A37="",ROUND(LEFT(H28,2)/40*40,0),ROUND(VLOOKUP(B36,$S$51:$T$55,2,FALSE)*LEFT(H28,2)/40,0))-B37,0)-ROUND(LEFT(H28,2)/40*2*41.475,0)-C46,0)</f>
        <v>0</v>
      </c>
    </row>
    <row r="60" spans="1:20" ht="12.75" customHeight="1" x14ac:dyDescent="0.25">
      <c r="A60" s="24" t="s">
        <v>61</v>
      </c>
      <c r="B60" s="9"/>
      <c r="C60" s="15"/>
      <c r="D60" s="204"/>
      <c r="E60" s="170"/>
      <c r="F60" s="170"/>
      <c r="G60" s="170"/>
      <c r="H60" s="170"/>
      <c r="K60" s="169"/>
      <c r="L60" s="169"/>
      <c r="M60" s="169"/>
      <c r="N60" s="169"/>
      <c r="O60" s="169"/>
    </row>
    <row r="61" spans="1:20" ht="12.75" customHeight="1" x14ac:dyDescent="0.25">
      <c r="A61" s="24" t="s">
        <v>62</v>
      </c>
      <c r="B61" s="9"/>
      <c r="C61" s="15"/>
      <c r="D61" s="154"/>
      <c r="E61" s="17"/>
      <c r="F61" s="17"/>
      <c r="G61" s="17"/>
      <c r="H61" s="17"/>
      <c r="I61" s="17"/>
      <c r="K61" s="169"/>
      <c r="L61" s="169"/>
      <c r="M61" s="169"/>
      <c r="N61" s="169"/>
      <c r="O61" s="169"/>
    </row>
    <row r="62" spans="1:20" ht="12.5" x14ac:dyDescent="0.25">
      <c r="A62" s="24" t="s">
        <v>64</v>
      </c>
      <c r="B62" s="9"/>
      <c r="C62" s="15"/>
      <c r="D62" s="154"/>
      <c r="E62" s="171" t="s">
        <v>63</v>
      </c>
      <c r="F62" s="171"/>
      <c r="G62" s="171"/>
      <c r="H62" s="171"/>
      <c r="I62" s="17"/>
      <c r="T62" s="12">
        <f>ROUND(1659*(LEFT(H28,2)/40)-ROUND(IF(A37="",ROUND(LEFT(H28,2)/40*40,0),ROUND(VLOOKUP(B36,$S$51:$T$55,2,FALSE)*LEFT(H28,2)/40,0))-B37,0)-ROUND(LEFT(H28,2)/40*2*41.475,0),0)</f>
        <v>0</v>
      </c>
    </row>
    <row r="63" spans="1:20" ht="12.5" x14ac:dyDescent="0.25">
      <c r="A63" s="24" t="s">
        <v>64</v>
      </c>
      <c r="B63" s="9"/>
      <c r="C63" s="15"/>
      <c r="D63" s="16"/>
      <c r="E63" s="16"/>
      <c r="F63" s="133" t="s">
        <v>49</v>
      </c>
      <c r="G63" s="134"/>
      <c r="H63" s="135" t="s">
        <v>52</v>
      </c>
      <c r="I63" s="17"/>
      <c r="S63" s="78">
        <f>1659/40*LEFT(H28,2)</f>
        <v>0</v>
      </c>
    </row>
    <row r="64" spans="1:20" ht="12.75" customHeight="1" x14ac:dyDescent="0.25">
      <c r="A64" s="24" t="s">
        <v>64</v>
      </c>
      <c r="B64" s="9"/>
      <c r="C64" s="15"/>
      <c r="D64" s="16"/>
      <c r="E64" s="136" t="s">
        <v>61</v>
      </c>
      <c r="F64" s="15"/>
      <c r="G64" s="137" t="s">
        <v>65</v>
      </c>
      <c r="H64" s="15"/>
      <c r="I64" s="17"/>
    </row>
    <row r="65" spans="1:9" ht="12.5" x14ac:dyDescent="0.25">
      <c r="A65" s="24" t="s">
        <v>64</v>
      </c>
      <c r="B65" s="9"/>
      <c r="C65" s="15"/>
      <c r="D65" s="16"/>
      <c r="E65" s="136" t="s">
        <v>66</v>
      </c>
      <c r="F65" s="15"/>
      <c r="G65" s="137" t="s">
        <v>67</v>
      </c>
      <c r="H65" s="15"/>
      <c r="I65" s="17"/>
    </row>
    <row r="66" spans="1:9" ht="12.75" customHeight="1" x14ac:dyDescent="0.25">
      <c r="A66" s="24" t="s">
        <v>64</v>
      </c>
      <c r="B66" s="9"/>
      <c r="C66" s="15"/>
      <c r="D66" s="16"/>
      <c r="E66" s="138" t="s">
        <v>64</v>
      </c>
      <c r="F66" s="15"/>
      <c r="G66" s="137" t="s">
        <v>68</v>
      </c>
      <c r="H66" s="15"/>
      <c r="I66" s="17"/>
    </row>
    <row r="67" spans="1:9" ht="12.5" x14ac:dyDescent="0.25">
      <c r="A67" s="24" t="s">
        <v>64</v>
      </c>
      <c r="B67" s="9"/>
      <c r="C67" s="15"/>
      <c r="D67" s="16"/>
      <c r="E67" s="138" t="s">
        <v>64</v>
      </c>
      <c r="F67" s="15"/>
      <c r="G67" s="138" t="s">
        <v>64</v>
      </c>
      <c r="H67" s="15"/>
      <c r="I67" s="17"/>
    </row>
    <row r="68" spans="1:9" ht="12.5" hidden="1" x14ac:dyDescent="0.25">
      <c r="A68" s="24" t="s">
        <v>64</v>
      </c>
      <c r="B68" s="9"/>
      <c r="C68" s="15"/>
      <c r="D68" s="16"/>
      <c r="E68" s="138" t="s">
        <v>64</v>
      </c>
      <c r="F68" s="15"/>
      <c r="G68" s="138" t="s">
        <v>64</v>
      </c>
      <c r="H68" s="15"/>
      <c r="I68" s="17"/>
    </row>
    <row r="69" spans="1:9" ht="12.5" hidden="1" x14ac:dyDescent="0.25">
      <c r="A69" s="24" t="s">
        <v>64</v>
      </c>
      <c r="B69" s="9"/>
      <c r="C69" s="15"/>
      <c r="D69" s="16"/>
      <c r="E69" s="138" t="s">
        <v>64</v>
      </c>
      <c r="F69" s="15"/>
      <c r="G69" s="138" t="s">
        <v>64</v>
      </c>
      <c r="H69" s="15"/>
      <c r="I69" s="17"/>
    </row>
    <row r="70" spans="1:9" ht="12.5" hidden="1" x14ac:dyDescent="0.25">
      <c r="A70" s="24" t="s">
        <v>64</v>
      </c>
      <c r="B70" s="9"/>
      <c r="C70" s="15"/>
      <c r="D70" s="16"/>
      <c r="E70" s="138" t="s">
        <v>64</v>
      </c>
      <c r="F70" s="15"/>
      <c r="G70" s="138" t="s">
        <v>64</v>
      </c>
      <c r="H70" s="15"/>
      <c r="I70" s="17"/>
    </row>
    <row r="71" spans="1:9" ht="12.5" hidden="1" x14ac:dyDescent="0.25">
      <c r="A71" s="24" t="s">
        <v>64</v>
      </c>
      <c r="B71" s="9"/>
      <c r="C71" s="15"/>
      <c r="D71" s="16"/>
      <c r="E71" s="138" t="s">
        <v>64</v>
      </c>
      <c r="F71" s="15"/>
      <c r="G71" s="138" t="s">
        <v>64</v>
      </c>
      <c r="H71" s="15"/>
      <c r="I71" s="17"/>
    </row>
    <row r="72" spans="1:9" ht="12.5" hidden="1" x14ac:dyDescent="0.25">
      <c r="A72" s="24" t="s">
        <v>64</v>
      </c>
      <c r="B72" s="9"/>
      <c r="C72" s="15"/>
      <c r="D72" s="16"/>
      <c r="E72" s="138" t="s">
        <v>64</v>
      </c>
      <c r="F72" s="15"/>
      <c r="G72" s="138" t="s">
        <v>64</v>
      </c>
      <c r="H72" s="15"/>
      <c r="I72" s="17"/>
    </row>
    <row r="73" spans="1:9" ht="12.5" hidden="1" x14ac:dyDescent="0.25">
      <c r="A73" s="24" t="s">
        <v>64</v>
      </c>
      <c r="B73" s="9"/>
      <c r="C73" s="15"/>
      <c r="D73" s="16"/>
      <c r="E73" s="138" t="s">
        <v>64</v>
      </c>
      <c r="F73" s="15"/>
      <c r="G73" s="138" t="s">
        <v>64</v>
      </c>
      <c r="H73" s="15"/>
      <c r="I73" s="17"/>
    </row>
    <row r="74" spans="1:9" ht="12.5" hidden="1" x14ac:dyDescent="0.25">
      <c r="A74" s="24" t="s">
        <v>64</v>
      </c>
      <c r="B74" s="9"/>
      <c r="C74" s="15"/>
      <c r="D74" s="16"/>
      <c r="E74" s="138" t="s">
        <v>64</v>
      </c>
      <c r="F74" s="15"/>
      <c r="G74" s="138" t="s">
        <v>64</v>
      </c>
      <c r="H74" s="15"/>
      <c r="I74" s="17"/>
    </row>
    <row r="75" spans="1:9" ht="12.5" hidden="1" x14ac:dyDescent="0.25">
      <c r="A75" s="24" t="s">
        <v>64</v>
      </c>
      <c r="B75" s="9"/>
      <c r="C75" s="15"/>
      <c r="D75" s="16"/>
      <c r="E75" s="138" t="s">
        <v>64</v>
      </c>
      <c r="F75" s="15"/>
      <c r="G75" s="138" t="s">
        <v>64</v>
      </c>
      <c r="H75" s="15"/>
      <c r="I75" s="17"/>
    </row>
    <row r="76" spans="1:9" ht="12.5" hidden="1" x14ac:dyDescent="0.25">
      <c r="A76" s="24" t="s">
        <v>64</v>
      </c>
      <c r="B76" s="9"/>
      <c r="C76" s="15"/>
      <c r="D76" s="16"/>
      <c r="E76" s="138" t="s">
        <v>64</v>
      </c>
      <c r="F76" s="15"/>
      <c r="G76" s="138" t="s">
        <v>64</v>
      </c>
      <c r="H76" s="15"/>
      <c r="I76" s="17"/>
    </row>
    <row r="77" spans="1:9" ht="12.5" hidden="1" x14ac:dyDescent="0.25">
      <c r="A77" s="24" t="s">
        <v>64</v>
      </c>
      <c r="B77" s="9"/>
      <c r="C77" s="15"/>
      <c r="D77" s="16"/>
      <c r="E77" s="138" t="s">
        <v>64</v>
      </c>
      <c r="F77" s="15"/>
      <c r="G77" s="138" t="s">
        <v>64</v>
      </c>
      <c r="H77" s="15"/>
      <c r="I77" s="17"/>
    </row>
    <row r="78" spans="1:9" ht="12.5" hidden="1" x14ac:dyDescent="0.25">
      <c r="A78" s="24" t="s">
        <v>64</v>
      </c>
      <c r="B78" s="9"/>
      <c r="C78" s="15"/>
      <c r="D78" s="16"/>
      <c r="E78" s="138" t="s">
        <v>64</v>
      </c>
      <c r="F78" s="15"/>
      <c r="G78" s="138" t="s">
        <v>64</v>
      </c>
      <c r="H78" s="15"/>
      <c r="I78" s="17"/>
    </row>
    <row r="79" spans="1:9" ht="12.5" hidden="1" x14ac:dyDescent="0.25">
      <c r="A79" s="24" t="s">
        <v>64</v>
      </c>
      <c r="B79" s="9"/>
      <c r="C79" s="15"/>
      <c r="D79" s="16"/>
      <c r="E79" s="138" t="s">
        <v>64</v>
      </c>
      <c r="F79" s="15"/>
      <c r="G79" s="138" t="s">
        <v>64</v>
      </c>
      <c r="H79" s="15"/>
      <c r="I79" s="17"/>
    </row>
    <row r="80" spans="1:9" ht="12.5" hidden="1" x14ac:dyDescent="0.25">
      <c r="A80" s="24" t="s">
        <v>64</v>
      </c>
      <c r="B80" s="9"/>
      <c r="C80" s="15"/>
      <c r="D80" s="16"/>
      <c r="E80" s="138" t="s">
        <v>64</v>
      </c>
      <c r="F80" s="15"/>
      <c r="G80" s="138" t="s">
        <v>64</v>
      </c>
      <c r="H80" s="15"/>
      <c r="I80" s="17"/>
    </row>
    <row r="81" spans="1:9" ht="12.5" hidden="1" x14ac:dyDescent="0.25">
      <c r="A81" s="24" t="s">
        <v>64</v>
      </c>
      <c r="B81" s="9"/>
      <c r="C81" s="15"/>
      <c r="D81" s="16"/>
      <c r="E81" s="138" t="s">
        <v>64</v>
      </c>
      <c r="F81" s="15"/>
      <c r="G81" s="138" t="s">
        <v>64</v>
      </c>
      <c r="H81" s="15"/>
      <c r="I81" s="17"/>
    </row>
    <row r="82" spans="1:9" ht="12.5" hidden="1" x14ac:dyDescent="0.25">
      <c r="A82" s="24" t="s">
        <v>64</v>
      </c>
      <c r="B82" s="9"/>
      <c r="C82" s="15"/>
      <c r="D82" s="16"/>
      <c r="E82" s="138" t="s">
        <v>64</v>
      </c>
      <c r="F82" s="15"/>
      <c r="G82" s="138" t="s">
        <v>64</v>
      </c>
      <c r="H82" s="15"/>
      <c r="I82" s="17"/>
    </row>
    <row r="83" spans="1:9" ht="12.5" hidden="1" x14ac:dyDescent="0.25">
      <c r="A83" s="24" t="s">
        <v>64</v>
      </c>
      <c r="B83" s="9"/>
      <c r="C83" s="15"/>
      <c r="D83" s="16"/>
      <c r="E83" s="138" t="s">
        <v>64</v>
      </c>
      <c r="F83" s="15"/>
      <c r="G83" s="138" t="s">
        <v>64</v>
      </c>
      <c r="H83" s="15"/>
      <c r="I83" s="17"/>
    </row>
    <row r="84" spans="1:9" ht="12.5" hidden="1" x14ac:dyDescent="0.25">
      <c r="A84" s="24" t="s">
        <v>64</v>
      </c>
      <c r="B84" s="9"/>
      <c r="C84" s="15"/>
      <c r="D84" s="16"/>
      <c r="E84" s="138" t="s">
        <v>64</v>
      </c>
      <c r="F84" s="15"/>
      <c r="G84" s="138" t="s">
        <v>64</v>
      </c>
      <c r="H84" s="15"/>
      <c r="I84" s="17"/>
    </row>
    <row r="85" spans="1:9" ht="12.5" hidden="1" x14ac:dyDescent="0.25">
      <c r="A85" s="24" t="s">
        <v>64</v>
      </c>
      <c r="B85" s="9"/>
      <c r="C85" s="15"/>
      <c r="D85" s="16"/>
      <c r="E85" s="138" t="s">
        <v>64</v>
      </c>
      <c r="F85" s="15"/>
      <c r="G85" s="138" t="s">
        <v>64</v>
      </c>
      <c r="H85" s="15"/>
      <c r="I85" s="17"/>
    </row>
    <row r="86" spans="1:9" ht="12.5" hidden="1" x14ac:dyDescent="0.25">
      <c r="A86" s="24" t="s">
        <v>64</v>
      </c>
      <c r="B86" s="9"/>
      <c r="C86" s="15"/>
      <c r="D86" s="16"/>
      <c r="E86" s="138" t="s">
        <v>64</v>
      </c>
      <c r="F86" s="15"/>
      <c r="G86" s="138" t="s">
        <v>64</v>
      </c>
      <c r="H86" s="15"/>
      <c r="I86" s="17"/>
    </row>
    <row r="87" spans="1:9" ht="12.5" hidden="1" x14ac:dyDescent="0.25">
      <c r="A87" s="24" t="s">
        <v>64</v>
      </c>
      <c r="B87" s="9"/>
      <c r="C87" s="15"/>
      <c r="D87" s="16"/>
      <c r="E87" s="138" t="s">
        <v>64</v>
      </c>
      <c r="F87" s="15"/>
      <c r="G87" s="138" t="s">
        <v>64</v>
      </c>
      <c r="H87" s="15"/>
      <c r="I87" s="17"/>
    </row>
    <row r="88" spans="1:9" ht="12.5" hidden="1" x14ac:dyDescent="0.25">
      <c r="A88" s="24" t="s">
        <v>64</v>
      </c>
      <c r="B88" s="9"/>
      <c r="C88" s="15"/>
      <c r="D88" s="16"/>
      <c r="E88" s="138" t="s">
        <v>64</v>
      </c>
      <c r="F88" s="15"/>
      <c r="G88" s="138" t="s">
        <v>64</v>
      </c>
      <c r="H88" s="15"/>
      <c r="I88" s="17"/>
    </row>
    <row r="89" spans="1:9" ht="12.5" hidden="1" x14ac:dyDescent="0.25">
      <c r="A89" s="24" t="s">
        <v>64</v>
      </c>
      <c r="B89" s="9"/>
      <c r="C89" s="15"/>
      <c r="D89" s="16"/>
      <c r="E89" s="138" t="s">
        <v>64</v>
      </c>
      <c r="F89" s="15"/>
      <c r="G89" s="138" t="s">
        <v>64</v>
      </c>
      <c r="H89" s="15"/>
      <c r="I89" s="17"/>
    </row>
    <row r="90" spans="1:9" ht="12.5" hidden="1" x14ac:dyDescent="0.25">
      <c r="A90" s="24" t="s">
        <v>64</v>
      </c>
      <c r="B90" s="9"/>
      <c r="C90" s="15"/>
      <c r="D90" s="16"/>
      <c r="E90" s="138" t="s">
        <v>64</v>
      </c>
      <c r="F90" s="15"/>
      <c r="G90" s="138" t="s">
        <v>64</v>
      </c>
      <c r="H90" s="15"/>
      <c r="I90" s="17"/>
    </row>
    <row r="91" spans="1:9" ht="12.5" hidden="1" x14ac:dyDescent="0.25">
      <c r="A91" s="24" t="s">
        <v>64</v>
      </c>
      <c r="B91" s="9"/>
      <c r="C91" s="15"/>
      <c r="D91" s="16"/>
      <c r="E91" s="138" t="s">
        <v>64</v>
      </c>
      <c r="F91" s="15"/>
      <c r="G91" s="138" t="s">
        <v>64</v>
      </c>
      <c r="H91" s="15"/>
      <c r="I91" s="17"/>
    </row>
    <row r="92" spans="1:9" ht="12.5" hidden="1" x14ac:dyDescent="0.25">
      <c r="A92" s="24" t="s">
        <v>64</v>
      </c>
      <c r="B92" s="9"/>
      <c r="C92" s="15"/>
      <c r="D92" s="16"/>
      <c r="E92" s="138" t="s">
        <v>64</v>
      </c>
      <c r="F92" s="15"/>
      <c r="G92" s="138" t="s">
        <v>64</v>
      </c>
      <c r="H92" s="15"/>
      <c r="I92" s="17"/>
    </row>
    <row r="93" spans="1:9" ht="12.5" hidden="1" x14ac:dyDescent="0.25">
      <c r="A93" s="24" t="s">
        <v>64</v>
      </c>
      <c r="B93" s="9"/>
      <c r="C93" s="15"/>
      <c r="D93" s="16"/>
      <c r="E93" s="138" t="s">
        <v>64</v>
      </c>
      <c r="F93" s="15"/>
      <c r="G93" s="138" t="s">
        <v>64</v>
      </c>
      <c r="H93" s="15"/>
      <c r="I93" s="17"/>
    </row>
    <row r="94" spans="1:9" ht="12.5" hidden="1" x14ac:dyDescent="0.25">
      <c r="A94" s="24" t="s">
        <v>64</v>
      </c>
      <c r="B94" s="9"/>
      <c r="C94" s="15"/>
      <c r="D94" s="16"/>
      <c r="E94" s="138" t="s">
        <v>64</v>
      </c>
      <c r="F94" s="15"/>
      <c r="G94" s="138" t="s">
        <v>64</v>
      </c>
      <c r="H94" s="15"/>
      <c r="I94" s="17"/>
    </row>
    <row r="95" spans="1:9" ht="12.5" hidden="1" x14ac:dyDescent="0.25">
      <c r="A95" s="24" t="s">
        <v>64</v>
      </c>
      <c r="B95" s="9"/>
      <c r="C95" s="15"/>
      <c r="D95" s="16"/>
      <c r="E95" s="138" t="s">
        <v>64</v>
      </c>
      <c r="F95" s="15"/>
      <c r="G95" s="138" t="s">
        <v>64</v>
      </c>
      <c r="H95" s="15"/>
      <c r="I95" s="17"/>
    </row>
    <row r="96" spans="1:9" ht="12.5" hidden="1" x14ac:dyDescent="0.25">
      <c r="A96" s="24" t="s">
        <v>64</v>
      </c>
      <c r="B96" s="9"/>
      <c r="C96" s="15"/>
      <c r="D96" s="16"/>
      <c r="E96" s="138" t="s">
        <v>64</v>
      </c>
      <c r="F96" s="15"/>
      <c r="G96" s="138" t="s">
        <v>64</v>
      </c>
      <c r="H96" s="15"/>
      <c r="I96" s="17"/>
    </row>
    <row r="97" spans="1:15" ht="12.5" hidden="1" x14ac:dyDescent="0.25">
      <c r="A97" s="24" t="s">
        <v>64</v>
      </c>
      <c r="B97" s="9"/>
      <c r="C97" s="15"/>
      <c r="D97" s="16"/>
      <c r="E97" s="138" t="s">
        <v>64</v>
      </c>
      <c r="F97" s="15"/>
      <c r="G97" s="138" t="s">
        <v>64</v>
      </c>
      <c r="H97" s="15"/>
      <c r="I97" s="17"/>
    </row>
    <row r="98" spans="1:15" ht="12.5" hidden="1" x14ac:dyDescent="0.25">
      <c r="A98" s="24" t="s">
        <v>64</v>
      </c>
      <c r="B98" s="9"/>
      <c r="C98" s="15"/>
      <c r="D98" s="16"/>
      <c r="E98" s="138" t="s">
        <v>64</v>
      </c>
      <c r="F98" s="15"/>
      <c r="G98" s="138" t="s">
        <v>64</v>
      </c>
      <c r="H98" s="15"/>
      <c r="I98" s="17"/>
    </row>
    <row r="99" spans="1:15" ht="13" thickBot="1" x14ac:dyDescent="0.3">
      <c r="A99" s="151" t="s">
        <v>64</v>
      </c>
      <c r="B99" s="9"/>
      <c r="C99" s="15"/>
      <c r="D99" s="9"/>
      <c r="E99" s="139" t="s">
        <v>71</v>
      </c>
      <c r="F99" s="140">
        <f>G52-SUM(F64:F98)</f>
        <v>0</v>
      </c>
      <c r="G99" s="139" t="s">
        <v>71</v>
      </c>
      <c r="H99" s="140">
        <f>G53-SUM(H64:H98)</f>
        <v>0</v>
      </c>
      <c r="I99" s="17"/>
    </row>
    <row r="100" spans="1:15" ht="13" thickBot="1" x14ac:dyDescent="0.3">
      <c r="A100" s="7" t="s">
        <v>69</v>
      </c>
      <c r="B100" s="9"/>
      <c r="C100" s="15"/>
      <c r="D100" s="9"/>
      <c r="E100" s="154" t="s">
        <v>21</v>
      </c>
      <c r="F100" s="76">
        <f>SUM(F64:F99)</f>
        <v>0</v>
      </c>
      <c r="G100" s="154" t="s">
        <v>21</v>
      </c>
      <c r="H100" s="76">
        <f>SUM(H64:H99)</f>
        <v>0</v>
      </c>
    </row>
    <row r="101" spans="1:15" ht="13" thickBot="1" x14ac:dyDescent="0.3">
      <c r="A101" s="9" t="s">
        <v>70</v>
      </c>
      <c r="B101" s="9"/>
      <c r="C101" s="10">
        <f>IFERROR(IF(G34&gt;0,ROUND(T59-SUM(C58:C100)-V42,0),ROUND(T59-H37-SUM(C58:C100),0)),0)</f>
        <v>0</v>
      </c>
      <c r="D101" s="9"/>
      <c r="E101" s="9"/>
      <c r="F101" s="9"/>
      <c r="G101" s="9"/>
      <c r="H101" s="9"/>
    </row>
    <row r="102" spans="1:15" ht="13" thickBot="1" x14ac:dyDescent="0.3">
      <c r="A102" s="13" t="s">
        <v>72</v>
      </c>
      <c r="B102" s="9"/>
      <c r="C102" s="14">
        <f>SUM(C58:C101)</f>
        <v>0</v>
      </c>
      <c r="D102" s="9"/>
      <c r="E102" s="9"/>
      <c r="F102" s="9"/>
      <c r="G102" s="9"/>
      <c r="H102" s="9"/>
    </row>
    <row r="103" spans="1:15" s="9" customFormat="1" ht="12.5" x14ac:dyDescent="0.25">
      <c r="J103" s="21"/>
      <c r="K103" s="21"/>
      <c r="L103" s="21"/>
      <c r="M103" s="21"/>
      <c r="N103" s="21"/>
      <c r="O103" s="21"/>
    </row>
    <row r="104" spans="1:15" ht="12.5" hidden="1" x14ac:dyDescent="0.25"/>
    <row r="105" spans="1:15" ht="12.5" hidden="1" x14ac:dyDescent="0.25"/>
    <row r="106" spans="1:15" ht="12.5" hidden="1" x14ac:dyDescent="0.25"/>
    <row r="107" spans="1:15" ht="12.5" hidden="1" x14ac:dyDescent="0.25"/>
    <row r="108" spans="1:15" ht="12.5" hidden="1" x14ac:dyDescent="0.25"/>
    <row r="109" spans="1:15" ht="12.5" hidden="1" x14ac:dyDescent="0.25"/>
    <row r="110" spans="1:15" ht="12.5" hidden="1" x14ac:dyDescent="0.25"/>
  </sheetData>
  <sheetProtection algorithmName="SHA-512" hashValue="1/gJN0QDi9zq2WfNrv8b1PDlZSaq7w2gNQ+j65Giv33jP8ZPDpdlI/PmIDIWgLc9URedPtI71dtxqvgw3yBL6A==" saltValue="ci3Awfi9mPa/sUunmsjquQ==" spinCount="100000" sheet="1" objects="1" scenarios="1" formatColumns="0" formatRows="0" insertColumns="0" insertRows="0" selectLockedCells="1"/>
  <mergeCells count="38">
    <mergeCell ref="D59:H60"/>
    <mergeCell ref="E62:H62"/>
    <mergeCell ref="A38:C38"/>
    <mergeCell ref="C24:E24"/>
    <mergeCell ref="B7:D7"/>
    <mergeCell ref="F28:G29"/>
    <mergeCell ref="H28:H29"/>
    <mergeCell ref="F25:G26"/>
    <mergeCell ref="B36:C36"/>
    <mergeCell ref="B33:C33"/>
    <mergeCell ref="B34:C34"/>
    <mergeCell ref="B35:C35"/>
    <mergeCell ref="G23:H23"/>
    <mergeCell ref="B8:I8"/>
    <mergeCell ref="F5:G5"/>
    <mergeCell ref="C16:D16"/>
    <mergeCell ref="B16:B17"/>
    <mergeCell ref="F15:H15"/>
    <mergeCell ref="F16:F17"/>
    <mergeCell ref="G16:H16"/>
    <mergeCell ref="B6:D6"/>
    <mergeCell ref="F6:G6"/>
    <mergeCell ref="C2:D2"/>
    <mergeCell ref="K57:O61"/>
    <mergeCell ref="E57:H58"/>
    <mergeCell ref="K31:O32"/>
    <mergeCell ref="K41:O44"/>
    <mergeCell ref="K35:O39"/>
    <mergeCell ref="E35:H35"/>
    <mergeCell ref="H6:I6"/>
    <mergeCell ref="H5:I5"/>
    <mergeCell ref="K28:O30"/>
    <mergeCell ref="K12:O15"/>
    <mergeCell ref="C23:D23"/>
    <mergeCell ref="B15:D15"/>
    <mergeCell ref="K16:O26"/>
    <mergeCell ref="H25:H26"/>
    <mergeCell ref="B5:D5"/>
  </mergeCells>
  <conditionalFormatting sqref="B37">
    <cfRule type="cellIs" dxfId="96" priority="25" operator="equal">
      <formula>$A$37&lt;&gt;"Aantal uur verlof"</formula>
    </cfRule>
    <cfRule type="cellIs" dxfId="95" priority="26" operator="equal">
      <formula>""""""</formula>
    </cfRule>
    <cfRule type="cellIs" dxfId="94" priority="27" operator="between">
      <formula>1</formula>
      <formula>500</formula>
    </cfRule>
  </conditionalFormatting>
  <conditionalFormatting sqref="B36:C36">
    <cfRule type="containsText" dxfId="93" priority="28" operator="containsText" text="e">
      <formula>NOT(ISERROR(SEARCH("e",B36)))</formula>
    </cfRule>
    <cfRule type="cellIs" dxfId="92" priority="29" operator="equal">
      <formula>$A$36&lt;&gt;"Recht duurzame inzetbaarheid"</formula>
    </cfRule>
  </conditionalFormatting>
  <conditionalFormatting sqref="F37">
    <cfRule type="cellIs" dxfId="91" priority="21" operator="greaterThan">
      <formula>0</formula>
    </cfRule>
    <cfRule type="cellIs" dxfId="90" priority="24" operator="equal">
      <formula>$F$36&lt;&gt;"Lesuren"</formula>
    </cfRule>
  </conditionalFormatting>
  <conditionalFormatting sqref="G37">
    <cfRule type="cellIs" dxfId="89" priority="20" operator="greaterThan">
      <formula>0</formula>
    </cfRule>
    <cfRule type="cellIs" dxfId="88" priority="23" operator="equal">
      <formula>$G$36&lt;&gt;"v/n-werk"</formula>
    </cfRule>
  </conditionalFormatting>
  <conditionalFormatting sqref="H37">
    <cfRule type="cellIs" dxfId="87" priority="19" operator="greaterThan">
      <formula>0</formula>
    </cfRule>
    <cfRule type="cellIs" dxfId="86" priority="22" operator="equal">
      <formula>$H$36&lt;&gt;"Taakuren"</formula>
    </cfRule>
  </conditionalFormatting>
  <conditionalFormatting sqref="C52">
    <cfRule type="cellIs" dxfId="85" priority="16" operator="equal">
      <formula>$D$52&lt;&gt;"Niet toegestaan"</formula>
    </cfRule>
  </conditionalFormatting>
  <conditionalFormatting sqref="C53">
    <cfRule type="cellIs" dxfId="84" priority="15" operator="equal">
      <formula>$D$52&lt;&gt;"Niet toegestaan"</formula>
    </cfRule>
  </conditionalFormatting>
  <conditionalFormatting sqref="C54">
    <cfRule type="cellIs" dxfId="83" priority="14" operator="equal">
      <formula>$D$52&lt;&gt;"Niet toegestaan"</formula>
    </cfRule>
  </conditionalFormatting>
  <conditionalFormatting sqref="G33">
    <cfRule type="cellIs" dxfId="82" priority="63" operator="equal">
      <formula>$B$33&lt;&gt;"Ja"</formula>
    </cfRule>
    <cfRule type="cellIs" dxfId="81" priority="64" operator="between">
      <formula>1</formula>
      <formula>1300</formula>
    </cfRule>
  </conditionalFormatting>
  <conditionalFormatting sqref="G34">
    <cfRule type="cellIs" dxfId="80" priority="65" operator="equal">
      <formula>$B$34&lt;&gt;"Ja"</formula>
    </cfRule>
    <cfRule type="cellIs" dxfId="79" priority="66" operator="between">
      <formula>0.0001</formula>
      <formula>2</formula>
    </cfRule>
  </conditionalFormatting>
  <conditionalFormatting sqref="H25:H26">
    <cfRule type="containsText" dxfId="78" priority="67" operator="containsText" text="u">
      <formula>NOT(ISERROR(SEARCH("u",H25)))</formula>
    </cfRule>
    <cfRule type="cellIs" dxfId="77" priority="68" operator="equal">
      <formula>$E$33&lt;&gt;"Lesuren"</formula>
    </cfRule>
  </conditionalFormatting>
  <conditionalFormatting sqref="G39">
    <cfRule type="containsText" dxfId="76" priority="7" operator="containsText" text="Duurz. Inz.">
      <formula>NOT(ISERROR(SEARCH("Duurz. Inz.",G39)))</formula>
    </cfRule>
  </conditionalFormatting>
  <conditionalFormatting sqref="G38">
    <cfRule type="containsText" dxfId="75" priority="6" operator="containsText" text="Taakuren">
      <formula>NOT(ISERROR(SEARCH("Taakuren",G38)))</formula>
    </cfRule>
  </conditionalFormatting>
  <conditionalFormatting sqref="A37:H37">
    <cfRule type="cellIs" dxfId="74" priority="5" operator="equal">
      <formula>$D$37&lt;&gt;"Lesuren"</formula>
    </cfRule>
  </conditionalFormatting>
  <conditionalFormatting sqref="B36:H36">
    <cfRule type="cellIs" dxfId="73" priority="4" operator="equal">
      <formula>$D$37&lt;&gt;"Lesuren"</formula>
    </cfRule>
  </conditionalFormatting>
  <conditionalFormatting sqref="H24">
    <cfRule type="containsText" dxfId="72" priority="12" operator="containsText" text="u">
      <formula>NOT(ISERROR(SEARCH("u",#REF!)))</formula>
    </cfRule>
  </conditionalFormatting>
  <conditionalFormatting sqref="H99">
    <cfRule type="cellIs" dxfId="71" priority="2" operator="lessThan">
      <formula>0</formula>
    </cfRule>
  </conditionalFormatting>
  <conditionalFormatting sqref="F99">
    <cfRule type="cellIs" dxfId="70" priority="1" operator="lessThan">
      <formula>0</formula>
    </cfRule>
  </conditionalFormatting>
  <dataValidations count="8">
    <dataValidation type="list" allowBlank="1" showInputMessage="1" showErrorMessage="1" sqref="B36:C36" xr:uid="{00000000-0002-0000-0100-000000000000}">
      <formula1>$T$27:$T$29</formula1>
    </dataValidation>
    <dataValidation type="whole" errorStyle="warning" operator="equal" allowBlank="1" showInputMessage="1" showErrorMessage="1" errorTitle="Let op:" error="Aantal uren wijkt af van het bepaalde schoolrooster" sqref="I18:I22" xr:uid="{00000000-0002-0000-0100-000001000000}">
      <formula1>E18</formula1>
    </dataValidation>
    <dataValidation type="whole" allowBlank="1" showInputMessage="1" showErrorMessage="1" errorTitle="Ongeldige invoer" error="Het ingevulde aantal uur verlof overstijgt het totaal aantal lesuren. Kies voor een lager aantal uur verlof." sqref="F37:F38" xr:uid="{00000000-0002-0000-0100-000002000000}">
      <formula1>0</formula1>
      <formula2>T57</formula2>
    </dataValidation>
    <dataValidation type="whole" allowBlank="1" showInputMessage="1" showErrorMessage="1" errorTitle="Ongeldige invoer" error="Het aantal ingevulde uren verlof overstijgt het totaal aantal uren voor- en nawerk. Kies voor een lager aantal uur verlof." sqref="G37" xr:uid="{00000000-0002-0000-0100-000003000000}">
      <formula1>0</formula1>
      <formula2>T58</formula2>
    </dataValidation>
    <dataValidation type="whole" allowBlank="1" showInputMessage="1" showErrorMessage="1" errorTitle="Ongeldige invoer" error="Het ingevulde aantal uur verlof overstijgt het beschikbare aantal taakuren. Kies voor een lager aantal uren verlof." sqref="H37:H38" xr:uid="{00000000-0002-0000-0100-000004000000}">
      <formula1>0</formula1>
      <formula2>T59</formula2>
    </dataValidation>
    <dataValidation type="list" allowBlank="1" showInputMessage="1" showErrorMessage="1" sqref="B33:B34" xr:uid="{00000000-0002-0000-0100-000005000000}">
      <formula1>"Ja,Nee"</formula1>
    </dataValidation>
    <dataValidation type="whole" allowBlank="1" showInputMessage="1" showErrorMessage="1" errorTitle="Foutieve invoer" error="Het aantal uur verlof past niet binnen uw budget" sqref="B37" xr:uid="{00000000-0002-0000-0100-000006000000}">
      <formula1>0</formula1>
      <formula2>IF(B36="Overgangsregeling 56+",ROUND(340*LEFT(H28,2)/40,0),IF(B36="Overgangsregeling 52+",ROUND(170*LEFT(H28,2)/40,0),IF(B36="Basis en bijzonder budget",ROUND(170*LEFT(H28,2)/40,0),"")))</formula2>
    </dataValidation>
    <dataValidation allowBlank="1" showInputMessage="1" showErrorMessage="1" errorTitle="Ongeldige invoer" error="Het aantal ingevulde uren verlof overstijgt het totaal aantal uren voor- en nawerk. Kies voor een lager aantal uur verlof." sqref="G38" xr:uid="{00000000-0002-0000-0100-000007000000}"/>
  </dataValidation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5"/>
  <dimension ref="A1:V110"/>
  <sheetViews>
    <sheetView zoomScale="85" zoomScaleNormal="85" workbookViewId="0">
      <selection activeCell="B33" sqref="B33:C33"/>
    </sheetView>
  </sheetViews>
  <sheetFormatPr defaultColWidth="0" defaultRowHeight="12.75" customHeight="1" zeroHeight="1" x14ac:dyDescent="0.25"/>
  <cols>
    <col min="1" max="1" width="27" style="12" customWidth="1"/>
    <col min="2" max="4" width="11.1796875" style="12" customWidth="1"/>
    <col min="5" max="5" width="7.54296875" style="12" customWidth="1"/>
    <col min="6" max="7" width="14.1796875" style="12" customWidth="1"/>
    <col min="8" max="8" width="14.453125" style="12" customWidth="1"/>
    <col min="9" max="9" width="1.453125" style="9" customWidth="1"/>
    <col min="10" max="10" width="2" style="21" customWidth="1"/>
    <col min="11" max="15" width="13.81640625" style="21" customWidth="1"/>
    <col min="16" max="17" width="13.81640625" style="9" hidden="1"/>
    <col min="18" max="18" width="10.1796875" style="12" hidden="1"/>
    <col min="19" max="20" width="9.453125" style="12" hidden="1"/>
    <col min="21" max="16384" width="9.1796875" style="12" hidden="1"/>
  </cols>
  <sheetData>
    <row r="1" spans="1:21" ht="12.75" customHeight="1" x14ac:dyDescent="0.25">
      <c r="A1" s="100" t="s">
        <v>128</v>
      </c>
      <c r="B1" s="9"/>
      <c r="C1" s="9"/>
      <c r="D1" s="9"/>
      <c r="E1" s="9"/>
      <c r="F1" s="9"/>
      <c r="G1" s="9"/>
      <c r="H1" s="9"/>
    </row>
    <row r="2" spans="1:21" ht="17.5" x14ac:dyDescent="0.35">
      <c r="A2" s="94" t="s">
        <v>73</v>
      </c>
      <c r="B2" s="9"/>
      <c r="C2" s="184"/>
      <c r="D2" s="185"/>
      <c r="E2" s="9"/>
      <c r="F2" s="9"/>
      <c r="G2" s="9"/>
      <c r="H2" s="9"/>
      <c r="U2" s="26"/>
    </row>
    <row r="3" spans="1:21" ht="12.5" x14ac:dyDescent="0.25">
      <c r="A3" s="9"/>
      <c r="B3" s="9"/>
      <c r="C3" s="9"/>
      <c r="D3" s="9"/>
      <c r="E3" s="9"/>
      <c r="F3" s="9"/>
      <c r="G3" s="9"/>
      <c r="H3" s="9"/>
    </row>
    <row r="4" spans="1:21" ht="12.5" x14ac:dyDescent="0.25">
      <c r="A4" s="27" t="s">
        <v>1</v>
      </c>
      <c r="B4" s="9"/>
      <c r="C4" s="9"/>
      <c r="D4" s="9"/>
      <c r="E4" s="27" t="s">
        <v>2</v>
      </c>
      <c r="F4" s="9"/>
      <c r="G4" s="9"/>
    </row>
    <row r="5" spans="1:21" ht="12.5" x14ac:dyDescent="0.25">
      <c r="A5" s="9" t="s">
        <v>3</v>
      </c>
      <c r="B5" s="186"/>
      <c r="C5" s="186"/>
      <c r="D5" s="186"/>
      <c r="E5" s="9" t="s">
        <v>4</v>
      </c>
      <c r="F5" s="186"/>
      <c r="G5" s="186"/>
      <c r="H5" s="186"/>
      <c r="I5" s="186"/>
    </row>
    <row r="6" spans="1:21" ht="12.5" x14ac:dyDescent="0.25">
      <c r="A6" s="9" t="s">
        <v>5</v>
      </c>
      <c r="B6" s="186"/>
      <c r="C6" s="186"/>
      <c r="D6" s="186"/>
      <c r="E6" s="9" t="s">
        <v>6</v>
      </c>
      <c r="F6" s="186"/>
      <c r="G6" s="186"/>
      <c r="H6" s="186"/>
      <c r="I6" s="186"/>
    </row>
    <row r="7" spans="1:21" ht="12.5" x14ac:dyDescent="0.25">
      <c r="A7" s="9" t="s">
        <v>7</v>
      </c>
      <c r="B7" s="187"/>
      <c r="C7" s="186"/>
      <c r="D7" s="186"/>
      <c r="E7" s="9"/>
      <c r="F7" s="9"/>
      <c r="G7" s="9"/>
      <c r="H7" s="9"/>
      <c r="U7" s="13"/>
    </row>
    <row r="8" spans="1:21" ht="12.5" x14ac:dyDescent="0.25">
      <c r="A8" s="9" t="s">
        <v>74</v>
      </c>
      <c r="B8" s="212"/>
      <c r="C8" s="212"/>
      <c r="D8" s="212"/>
      <c r="E8" s="212"/>
      <c r="F8" s="212"/>
      <c r="G8" s="212"/>
      <c r="H8" s="212"/>
      <c r="I8" s="212"/>
      <c r="U8" s="13"/>
    </row>
    <row r="9" spans="1:21" ht="12.5" x14ac:dyDescent="0.25">
      <c r="A9" s="9"/>
      <c r="B9" s="28"/>
      <c r="C9" s="9"/>
      <c r="D9" s="9"/>
      <c r="E9" s="9"/>
      <c r="F9" s="9"/>
      <c r="G9" s="9"/>
      <c r="H9" s="36" t="e">
        <f>40/(940/C10)</f>
        <v>#DIV/0!</v>
      </c>
      <c r="U9" s="13"/>
    </row>
    <row r="10" spans="1:21" ht="12.5" x14ac:dyDescent="0.25">
      <c r="A10" s="29" t="s">
        <v>8</v>
      </c>
      <c r="B10" s="13"/>
      <c r="C10" s="4"/>
      <c r="E10" s="29" t="s">
        <v>9</v>
      </c>
      <c r="F10" s="9"/>
      <c r="H10" s="147"/>
      <c r="U10" s="13"/>
    </row>
    <row r="11" spans="1:21" ht="13" thickBot="1" x14ac:dyDescent="0.3">
      <c r="A11" s="30"/>
      <c r="B11" s="30"/>
      <c r="C11" s="30"/>
      <c r="D11" s="30"/>
      <c r="E11" s="30"/>
      <c r="F11" s="30"/>
      <c r="G11" s="30"/>
      <c r="H11" s="30"/>
      <c r="I11" s="30"/>
      <c r="J11" s="31"/>
      <c r="K11" s="83" t="s">
        <v>10</v>
      </c>
      <c r="L11" s="31"/>
      <c r="M11" s="31"/>
      <c r="N11" s="31"/>
      <c r="O11" s="31"/>
    </row>
    <row r="12" spans="1:21" ht="12.5" x14ac:dyDescent="0.25">
      <c r="A12" s="9"/>
      <c r="B12" s="9"/>
      <c r="C12" s="9"/>
      <c r="D12" s="9"/>
      <c r="E12" s="9"/>
      <c r="F12" s="9"/>
      <c r="G12" s="9"/>
      <c r="H12" s="9"/>
      <c r="K12" s="188" t="s">
        <v>75</v>
      </c>
      <c r="L12" s="188"/>
      <c r="M12" s="188"/>
      <c r="N12" s="188"/>
      <c r="O12" s="188"/>
      <c r="P12" s="32"/>
      <c r="Q12" s="32"/>
    </row>
    <row r="13" spans="1:21" ht="14.25" customHeight="1" x14ac:dyDescent="0.3">
      <c r="A13" s="84" t="s">
        <v>76</v>
      </c>
      <c r="B13" s="85"/>
      <c r="C13" s="9"/>
      <c r="D13" s="9"/>
      <c r="E13" s="9"/>
      <c r="F13" s="9"/>
      <c r="G13" s="9"/>
      <c r="I13" s="36"/>
      <c r="K13" s="189"/>
      <c r="L13" s="189"/>
      <c r="M13" s="189"/>
      <c r="N13" s="189"/>
      <c r="O13" s="189"/>
      <c r="P13" s="32"/>
      <c r="Q13" s="32"/>
    </row>
    <row r="14" spans="1:21" ht="14.25" customHeight="1" x14ac:dyDescent="0.3">
      <c r="A14" s="84"/>
      <c r="B14" s="85"/>
      <c r="C14" s="9"/>
      <c r="D14" s="9"/>
      <c r="E14" s="9"/>
      <c r="F14" s="9"/>
      <c r="G14" s="9"/>
      <c r="H14" s="36"/>
      <c r="I14" s="36"/>
      <c r="K14" s="189"/>
      <c r="L14" s="189"/>
      <c r="M14" s="189"/>
      <c r="N14" s="189"/>
      <c r="O14" s="189"/>
      <c r="P14" s="32"/>
      <c r="Q14" s="32"/>
    </row>
    <row r="15" spans="1:21" ht="12.5" x14ac:dyDescent="0.25">
      <c r="A15" s="13"/>
      <c r="B15" s="199" t="s">
        <v>77</v>
      </c>
      <c r="C15" s="199"/>
      <c r="D15" s="199"/>
      <c r="E15" s="9"/>
      <c r="F15" s="199" t="s">
        <v>78</v>
      </c>
      <c r="G15" s="199"/>
      <c r="H15" s="199"/>
      <c r="I15" s="155"/>
      <c r="K15" s="189"/>
      <c r="L15" s="189"/>
      <c r="M15" s="189"/>
      <c r="N15" s="189"/>
      <c r="O15" s="189"/>
      <c r="P15" s="32"/>
      <c r="Q15" s="32"/>
    </row>
    <row r="16" spans="1:21" ht="12.75" customHeight="1" x14ac:dyDescent="0.25">
      <c r="A16" s="86"/>
      <c r="B16" s="202" t="s">
        <v>79</v>
      </c>
      <c r="C16" s="201" t="s">
        <v>80</v>
      </c>
      <c r="D16" s="201"/>
      <c r="E16" s="87"/>
      <c r="F16" s="202" t="s">
        <v>79</v>
      </c>
      <c r="G16" s="201" t="s">
        <v>80</v>
      </c>
      <c r="H16" s="201"/>
      <c r="I16" s="156"/>
      <c r="K16" s="200" t="s">
        <v>81</v>
      </c>
      <c r="L16" s="200"/>
      <c r="M16" s="200"/>
      <c r="N16" s="200"/>
      <c r="O16" s="200"/>
      <c r="P16" s="32"/>
      <c r="Q16" s="32"/>
    </row>
    <row r="17" spans="1:20" ht="12.75" customHeight="1" x14ac:dyDescent="0.25">
      <c r="A17" s="34"/>
      <c r="B17" s="203"/>
      <c r="C17" s="35" t="s">
        <v>82</v>
      </c>
      <c r="D17" s="87" t="s">
        <v>83</v>
      </c>
      <c r="E17" s="87"/>
      <c r="F17" s="203"/>
      <c r="G17" s="35" t="s">
        <v>82</v>
      </c>
      <c r="H17" s="87" t="s">
        <v>83</v>
      </c>
      <c r="I17" s="87"/>
      <c r="K17" s="200"/>
      <c r="L17" s="200"/>
      <c r="M17" s="200"/>
      <c r="N17" s="200"/>
      <c r="O17" s="200"/>
      <c r="P17" s="32"/>
      <c r="Q17" s="32"/>
    </row>
    <row r="18" spans="1:20" ht="12.75" customHeight="1" x14ac:dyDescent="0.25">
      <c r="A18" s="112" t="s">
        <v>15</v>
      </c>
      <c r="B18" s="1"/>
      <c r="C18" s="23"/>
      <c r="D18" s="23"/>
      <c r="E18" s="38"/>
      <c r="F18" s="1"/>
      <c r="G18" s="23"/>
      <c r="H18" s="23"/>
      <c r="I18" s="38"/>
      <c r="K18" s="200"/>
      <c r="L18" s="200"/>
      <c r="M18" s="200"/>
      <c r="N18" s="200"/>
      <c r="O18" s="200"/>
      <c r="P18" s="32"/>
      <c r="Q18" s="32"/>
    </row>
    <row r="19" spans="1:20" ht="12.5" x14ac:dyDescent="0.25">
      <c r="A19" s="112" t="s">
        <v>16</v>
      </c>
      <c r="B19" s="1"/>
      <c r="C19" s="23"/>
      <c r="D19" s="23"/>
      <c r="E19" s="38"/>
      <c r="F19" s="1"/>
      <c r="G19" s="23"/>
      <c r="H19" s="23"/>
      <c r="I19" s="38"/>
      <c r="K19" s="200"/>
      <c r="L19" s="200"/>
      <c r="M19" s="200"/>
      <c r="N19" s="200"/>
      <c r="O19" s="200"/>
      <c r="P19" s="32"/>
      <c r="Q19" s="32"/>
    </row>
    <row r="20" spans="1:20" ht="12.75" customHeight="1" x14ac:dyDescent="0.25">
      <c r="A20" s="112" t="s">
        <v>17</v>
      </c>
      <c r="B20" s="1"/>
      <c r="C20" s="23"/>
      <c r="D20" s="23"/>
      <c r="E20" s="38"/>
      <c r="F20" s="1"/>
      <c r="G20" s="23"/>
      <c r="H20" s="23"/>
      <c r="I20" s="38"/>
      <c r="K20" s="200"/>
      <c r="L20" s="200"/>
      <c r="M20" s="200"/>
      <c r="N20" s="200"/>
      <c r="O20" s="200"/>
      <c r="P20" s="32"/>
      <c r="Q20" s="32"/>
    </row>
    <row r="21" spans="1:20" ht="12.75" customHeight="1" x14ac:dyDescent="0.25">
      <c r="A21" s="112" t="s">
        <v>19</v>
      </c>
      <c r="B21" s="1"/>
      <c r="C21" s="23"/>
      <c r="D21" s="23"/>
      <c r="E21" s="38"/>
      <c r="F21" s="1"/>
      <c r="G21" s="23"/>
      <c r="H21" s="23"/>
      <c r="I21" s="38"/>
      <c r="K21" s="200"/>
      <c r="L21" s="200"/>
      <c r="M21" s="200"/>
      <c r="N21" s="200"/>
      <c r="O21" s="200"/>
      <c r="P21" s="32"/>
      <c r="Q21" s="32"/>
    </row>
    <row r="22" spans="1:20" ht="12.75" customHeight="1" x14ac:dyDescent="0.25">
      <c r="A22" s="112" t="s">
        <v>20</v>
      </c>
      <c r="B22" s="1"/>
      <c r="C22" s="23"/>
      <c r="D22" s="23"/>
      <c r="E22" s="38"/>
      <c r="F22" s="1"/>
      <c r="G22" s="23"/>
      <c r="H22" s="23"/>
      <c r="I22" s="38"/>
      <c r="K22" s="200"/>
      <c r="L22" s="200"/>
      <c r="M22" s="200"/>
      <c r="N22" s="200"/>
      <c r="O22" s="200"/>
      <c r="P22" s="32"/>
      <c r="Q22" s="32"/>
    </row>
    <row r="23" spans="1:20" ht="12.5" x14ac:dyDescent="0.25">
      <c r="A23" s="113" t="s">
        <v>21</v>
      </c>
      <c r="B23" s="40">
        <f>SUM(B18:B22)</f>
        <v>0</v>
      </c>
      <c r="C23" s="198">
        <f>SUM(C18:D22)</f>
        <v>0</v>
      </c>
      <c r="D23" s="198"/>
      <c r="E23" s="41"/>
      <c r="F23" s="40">
        <f>SUM(F18:F22)</f>
        <v>0</v>
      </c>
      <c r="G23" s="198">
        <f>SUM(G18:H22)</f>
        <v>0</v>
      </c>
      <c r="H23" s="198"/>
      <c r="I23" s="41"/>
      <c r="K23" s="200"/>
      <c r="L23" s="200"/>
      <c r="M23" s="200"/>
      <c r="N23" s="200"/>
      <c r="O23" s="200"/>
      <c r="P23" s="32"/>
      <c r="Q23" s="32"/>
    </row>
    <row r="24" spans="1:20" ht="12.75" customHeight="1" x14ac:dyDescent="0.25">
      <c r="A24" s="13"/>
      <c r="B24" s="9"/>
      <c r="C24" s="205" t="str">
        <f>IF(B37&gt;0,"Totaal exclusief verlofuren","")</f>
        <v/>
      </c>
      <c r="D24" s="205"/>
      <c r="E24" s="205"/>
      <c r="F24" s="102" t="str">
        <f>IF(C24="","",C52/C10)</f>
        <v/>
      </c>
      <c r="G24" s="41"/>
      <c r="H24" s="41"/>
      <c r="I24" s="41"/>
      <c r="J24" s="42"/>
      <c r="K24" s="200"/>
      <c r="L24" s="200"/>
      <c r="M24" s="200"/>
      <c r="N24" s="200"/>
      <c r="O24" s="200"/>
      <c r="P24" s="32"/>
      <c r="Q24" s="32"/>
    </row>
    <row r="25" spans="1:20" ht="12.75" customHeight="1" x14ac:dyDescent="0.25">
      <c r="A25" s="13"/>
      <c r="C25" s="103"/>
      <c r="E25" s="35"/>
      <c r="F25" s="191" t="str">
        <f>IF(B37&gt;0,"Werktijdfactor exclusief verlof duurz. inz.:",IF(G33&gt;0,"Werktijdfactor exclusief ouderschapsverlof:",""))</f>
        <v/>
      </c>
      <c r="G25" s="191"/>
      <c r="H25" s="192" t="str">
        <f>IF(B37&gt;0,FLOOR((LEFT(H28,2)/40-(G54/1659))*40,1)&amp;" uur"&amp;IF((ROUND(((LEFT(H28,2)/40-(G54/1659))*40-FLOOR((LEFT(H28,2)/40-(G54/1659))*40,1))*60,0))=0,""," en "&amp;ROUND(((LEFT(H28,2)/40-(G54/1659))*40-FLOOR((LEFT(H28,2)/40-(G54/1659))*40,1))*60,0)&amp;" minuten"),IF(G34&gt;0,FLOOR((LEFT(H28,2)/40-(G54/1659))*40,1)&amp;" uur"&amp;IF((ROUND(((LEFT(H28,2)/40-(G54/1659))*40-FLOOR((LEFT(H28,2)/40-(G54/1659))*40,1))*60,0))=0,""," en "&amp;ROUND(((LEFT(H28,2)/40-(G54/1659))*40-FLOOR((LEFT(H28,2)/40-(G54/1659))*40,1))*60,0)&amp;" minuten"),""))</f>
        <v/>
      </c>
      <c r="I25" s="41"/>
      <c r="J25" s="42"/>
      <c r="K25" s="200"/>
      <c r="L25" s="200"/>
      <c r="M25" s="200"/>
      <c r="N25" s="200"/>
      <c r="O25" s="200"/>
      <c r="P25" s="32"/>
      <c r="Q25" s="32"/>
      <c r="S25" s="166">
        <f ca="1">YEAR(NOW())-YEAR(C35)</f>
        <v>123</v>
      </c>
      <c r="T25">
        <f ca="1">YEAR(NOW())</f>
        <v>2023</v>
      </c>
    </row>
    <row r="26" spans="1:20" ht="12.5" x14ac:dyDescent="0.25">
      <c r="A26" s="13"/>
      <c r="B26" s="13"/>
      <c r="C26" s="13"/>
      <c r="D26" s="9"/>
      <c r="E26" s="9"/>
      <c r="F26" s="191"/>
      <c r="G26" s="191"/>
      <c r="H26" s="192"/>
      <c r="I26" s="13"/>
      <c r="K26" s="200"/>
      <c r="L26" s="200"/>
      <c r="M26" s="200"/>
      <c r="N26" s="200"/>
      <c r="O26" s="200"/>
      <c r="P26" s="32"/>
      <c r="Q26" s="32"/>
      <c r="S26" s="45">
        <v>21459</v>
      </c>
      <c r="T26" s="160">
        <f ca="1">DATE((T25-57),MONTH(B35),DAY(B35))</f>
        <v>24107</v>
      </c>
    </row>
    <row r="27" spans="1:20" ht="13.5" customHeight="1" thickBot="1" x14ac:dyDescent="0.3">
      <c r="A27" s="34" t="s">
        <v>22</v>
      </c>
      <c r="B27" s="13"/>
      <c r="C27" s="13"/>
      <c r="D27" s="9"/>
      <c r="E27" s="9"/>
      <c r="F27" s="13"/>
      <c r="G27" s="13"/>
      <c r="H27" s="13"/>
      <c r="I27" s="13"/>
      <c r="K27" s="88"/>
      <c r="L27" s="88"/>
      <c r="M27" s="88"/>
      <c r="N27" s="88"/>
      <c r="O27" s="88"/>
      <c r="P27" s="32"/>
      <c r="Q27" s="32"/>
      <c r="S27" s="45"/>
      <c r="T27" s="12" t="str">
        <f>IF(B35="","",IF(B35&lt;=S26,"Overgangsregeling 56+",IF(B35&lt;=T26,"Basis en bijzonder budget","")))</f>
        <v/>
      </c>
    </row>
    <row r="28" spans="1:20" ht="12.75" customHeight="1" x14ac:dyDescent="0.25">
      <c r="A28" s="29" t="s">
        <v>84</v>
      </c>
      <c r="B28" s="13"/>
      <c r="C28" s="13"/>
      <c r="D28" s="3"/>
      <c r="E28" s="89"/>
      <c r="F28" s="181" t="s">
        <v>25</v>
      </c>
      <c r="G28" s="206"/>
      <c r="H28" s="207">
        <f>IFERROR(ROUND((G23-G33/C10*H26+(D28+D28*H10+D29)/41.475),0)&amp;" uur",0)</f>
        <v>0</v>
      </c>
      <c r="K28" s="196" t="s">
        <v>85</v>
      </c>
      <c r="L28" s="196"/>
      <c r="M28" s="196"/>
      <c r="N28" s="196"/>
      <c r="O28" s="196"/>
      <c r="P28" s="32"/>
      <c r="Q28" s="32"/>
      <c r="T28" s="12" t="str">
        <f>IF(B35="","",IF(B35&lt;=S26,"Basis en bijzonder budget",IF(B35&lt;=T26,"Enkel basis budget","")))</f>
        <v/>
      </c>
    </row>
    <row r="29" spans="1:20" ht="13.5" customHeight="1" thickBot="1" x14ac:dyDescent="0.3">
      <c r="A29" s="29" t="s">
        <v>86</v>
      </c>
      <c r="B29" s="13"/>
      <c r="D29" s="3"/>
      <c r="E29" s="89"/>
      <c r="F29" s="181"/>
      <c r="G29" s="206"/>
      <c r="H29" s="208"/>
      <c r="K29" s="196"/>
      <c r="L29" s="196"/>
      <c r="M29" s="196"/>
      <c r="N29" s="196"/>
      <c r="O29" s="196"/>
      <c r="P29" s="32"/>
      <c r="Q29" s="32"/>
      <c r="R29" s="48"/>
      <c r="T29" s="12" t="str">
        <f>IF(B35="","",IF(B35&lt;=S26,"Enkel basis budget",""))</f>
        <v/>
      </c>
    </row>
    <row r="30" spans="1:20" ht="13" thickBot="1" x14ac:dyDescent="0.3">
      <c r="A30" s="49"/>
      <c r="B30" s="49"/>
      <c r="C30" s="49"/>
      <c r="D30" s="50"/>
      <c r="E30" s="50"/>
      <c r="F30" s="124" t="s">
        <v>27</v>
      </c>
      <c r="G30" s="122"/>
      <c r="H30" s="123" t="str">
        <f>IF(H28=0,"",LEFT(H28,2)/40)</f>
        <v/>
      </c>
      <c r="I30" s="49"/>
      <c r="J30" s="51"/>
      <c r="K30" s="197"/>
      <c r="L30" s="197"/>
      <c r="M30" s="197"/>
      <c r="N30" s="197"/>
      <c r="O30" s="197"/>
      <c r="P30" s="32"/>
      <c r="Q30" s="32"/>
    </row>
    <row r="31" spans="1:20" s="11" customFormat="1" ht="12.5" x14ac:dyDescent="0.25">
      <c r="A31" s="13"/>
      <c r="B31" s="13"/>
      <c r="C31" s="13"/>
      <c r="D31" s="9"/>
      <c r="E31" s="9"/>
      <c r="F31" s="13"/>
      <c r="G31" s="13"/>
      <c r="H31" s="13"/>
      <c r="I31" s="13"/>
      <c r="J31" s="43"/>
      <c r="K31" s="193" t="s">
        <v>87</v>
      </c>
      <c r="L31" s="193"/>
      <c r="M31" s="193"/>
      <c r="N31" s="193"/>
      <c r="O31" s="193"/>
      <c r="P31" s="53"/>
      <c r="Q31" s="53"/>
    </row>
    <row r="32" spans="1:20" ht="12.5" x14ac:dyDescent="0.25">
      <c r="A32" s="13" t="s">
        <v>28</v>
      </c>
      <c r="B32" s="13"/>
      <c r="C32" s="13"/>
      <c r="D32" s="9"/>
      <c r="E32" s="9"/>
      <c r="F32" s="13"/>
      <c r="G32" s="13"/>
      <c r="H32" s="13"/>
      <c r="I32" s="13"/>
      <c r="K32" s="169"/>
      <c r="L32" s="169"/>
      <c r="M32" s="169"/>
      <c r="N32" s="169"/>
      <c r="O32" s="169"/>
      <c r="S32" s="12" t="s">
        <v>30</v>
      </c>
    </row>
    <row r="33" spans="1:22" ht="12.5" x14ac:dyDescent="0.25">
      <c r="A33" s="29" t="str">
        <f>'wtf OP, obv dagdelen onderbouw'!A33</f>
        <v>Vrij geroosterde lesuren</v>
      </c>
      <c r="B33" s="210"/>
      <c r="C33" s="211"/>
      <c r="D33" s="54" t="str">
        <f>IF(B33="ja","Aantal lesuren verlof per jaar","")</f>
        <v/>
      </c>
      <c r="E33" s="13"/>
      <c r="F33" s="13"/>
      <c r="G33" s="5"/>
      <c r="H33" s="9"/>
      <c r="I33" s="13"/>
      <c r="K33" s="145"/>
      <c r="L33" s="145"/>
      <c r="M33" s="145"/>
      <c r="N33" s="145"/>
      <c r="O33" s="145"/>
    </row>
    <row r="34" spans="1:22" ht="12.5" x14ac:dyDescent="0.25">
      <c r="A34" s="29" t="s">
        <v>33</v>
      </c>
      <c r="B34" s="210"/>
      <c r="C34" s="211"/>
      <c r="D34" s="9" t="str">
        <f>IF(B34="Ja","Werktijdfactor verlof","")</f>
        <v/>
      </c>
      <c r="E34" s="54"/>
      <c r="F34" s="54"/>
      <c r="G34" s="5"/>
      <c r="H34" s="9"/>
      <c r="I34" s="13"/>
      <c r="K34" s="145"/>
      <c r="L34" s="145"/>
      <c r="M34" s="145"/>
      <c r="N34" s="145"/>
      <c r="O34" s="145"/>
    </row>
    <row r="35" spans="1:22" ht="12.5" x14ac:dyDescent="0.25">
      <c r="A35" s="29" t="s">
        <v>34</v>
      </c>
      <c r="B35" s="210"/>
      <c r="C35" s="211"/>
      <c r="D35" s="9"/>
      <c r="E35" s="195" t="str">
        <f>IF(B37&gt;0,"Verdeling uren verlof duurz. inz.","")</f>
        <v/>
      </c>
      <c r="F35" s="195"/>
      <c r="G35" s="195"/>
      <c r="H35" s="195"/>
      <c r="J35" s="43"/>
      <c r="K35" s="189" t="s">
        <v>88</v>
      </c>
      <c r="L35" s="189"/>
      <c r="M35" s="189"/>
      <c r="N35" s="189"/>
      <c r="O35" s="189"/>
      <c r="P35" s="13"/>
      <c r="Q35" s="13"/>
      <c r="R35" s="55">
        <f>2014-1958</f>
        <v>56</v>
      </c>
      <c r="S35" s="56" t="s">
        <v>36</v>
      </c>
    </row>
    <row r="36" spans="1:22" ht="12.5" x14ac:dyDescent="0.25">
      <c r="A36" s="9" t="str">
        <f>IF(B35="","",IF($B$35&lt;$S$26,"Recht duurzame inzetbaarheid",IF($B$35&lt;=$T$26,"Recht duurzame inzetbaarheid","")))</f>
        <v/>
      </c>
      <c r="B36" s="209"/>
      <c r="C36" s="209"/>
      <c r="E36" s="9"/>
      <c r="F36" s="35" t="str">
        <f>IF(B37&gt;0,"Lesuren","")</f>
        <v/>
      </c>
      <c r="G36" s="35" t="str">
        <f>IF(B37&gt;0,"v/n-werk","")</f>
        <v/>
      </c>
      <c r="H36" s="35" t="str">
        <f>IF(B37&gt;0,"Taakuren","")</f>
        <v/>
      </c>
      <c r="J36" s="43"/>
      <c r="K36" s="189"/>
      <c r="L36" s="189"/>
      <c r="M36" s="189"/>
      <c r="N36" s="189"/>
      <c r="O36" s="189"/>
      <c r="P36" s="13"/>
      <c r="Q36" s="13"/>
      <c r="S36" s="56" t="s">
        <v>37</v>
      </c>
      <c r="U36" s="105">
        <f>G34*1659</f>
        <v>0</v>
      </c>
      <c r="V36" s="105"/>
    </row>
    <row r="37" spans="1:22" ht="12.5" x14ac:dyDescent="0.25">
      <c r="A37" s="9" t="str">
        <f>IF(B36="","",IF(B36="Overgangsregeling 52+","Aantal uur verlof",IF(B36="Overgangsregeling 56+","Aantal uur verlof",IF(B36="Basis en bijzonder budget","Aantal uur verlof",""))))</f>
        <v/>
      </c>
      <c r="B37" s="151"/>
      <c r="C37" s="57" t="str">
        <f>IF(B36="Overgangsregeling 56+",ROUND(170*LEFT(H28,2)/40,0)&amp;" - "&amp;ROUND(340*LEFT(H28,2)/40,0),IF(B36="Overgangsregeling 52+","0 - "&amp;ROUND(170*LEFT(H28,2)/40,0),IF(B36="Basis en bijzonder budget","0 - "&amp;ROUND(170*LEFT(H28,2)/40,0),"")))</f>
        <v/>
      </c>
      <c r="D37" s="9" t="str">
        <f>IF(G34&gt;0,"Lesuren","")</f>
        <v/>
      </c>
      <c r="E37" s="9" t="str">
        <f>IFERROR(ROUND(IF(G34&gt;0,U37*U36,""),0),"")</f>
        <v/>
      </c>
      <c r="F37" s="157"/>
      <c r="G37" s="157"/>
      <c r="H37" s="157"/>
      <c r="I37" s="13"/>
      <c r="J37" s="43"/>
      <c r="K37" s="189"/>
      <c r="L37" s="189"/>
      <c r="M37" s="189"/>
      <c r="N37" s="189"/>
      <c r="O37" s="189"/>
      <c r="P37" s="13"/>
      <c r="Q37" s="13"/>
      <c r="S37" s="104">
        <f>ROUND(F23*C10+D28-G33,0)</f>
        <v>0</v>
      </c>
      <c r="T37" s="105"/>
      <c r="U37" s="106" t="e">
        <f>S37/SUM($S$37:$S$42)</f>
        <v>#DIV/0!</v>
      </c>
      <c r="V37" s="105" t="e">
        <f>U37*$U$36</f>
        <v>#DIV/0!</v>
      </c>
    </row>
    <row r="38" spans="1:22" ht="12.5" x14ac:dyDescent="0.25">
      <c r="A38" s="177" t="str">
        <f>IF(G34&gt;0,"Verdeling uren ouderschapsverlof","")</f>
        <v/>
      </c>
      <c r="B38" s="177"/>
      <c r="C38" s="177"/>
      <c r="D38" s="9" t="str">
        <f>IF(G34&gt;0,"v/n-werk","")</f>
        <v/>
      </c>
      <c r="E38" s="9"/>
      <c r="F38" s="114" t="str">
        <f>IFERROR(ROUND(IF(G34&gt;0,U39*U36,""),0),"")</f>
        <v/>
      </c>
      <c r="G38" s="115" t="str">
        <f>IF(B37&gt;0,IF(B37&gt;SUM(F37:H37),"nog "&amp;B37-SUM(F37:H37)&amp;" uur",IF(B37=SUM(F37:H37),"verdeeld","te veel uren")),IF(G34&gt;0,"Taakuren",""))</f>
        <v/>
      </c>
      <c r="H38" s="9" t="str">
        <f>IFERROR(ROUND(IF(G34&gt;0,U42*U36,""),0),"")</f>
        <v/>
      </c>
      <c r="I38" s="13"/>
      <c r="J38" s="43"/>
      <c r="K38" s="189"/>
      <c r="L38" s="189"/>
      <c r="M38" s="189"/>
      <c r="N38" s="189"/>
      <c r="O38" s="189"/>
      <c r="P38" s="13"/>
      <c r="Q38" s="13"/>
      <c r="S38" s="104"/>
      <c r="T38" s="105"/>
      <c r="U38" s="106"/>
      <c r="V38" s="105"/>
    </row>
    <row r="39" spans="1:22" ht="13" thickBot="1" x14ac:dyDescent="0.3">
      <c r="A39" s="59"/>
      <c r="B39" s="49"/>
      <c r="C39" s="49"/>
      <c r="D39" s="110" t="str">
        <f>IF(G34&gt;0,"Professionalisering","")</f>
        <v/>
      </c>
      <c r="E39" s="50"/>
      <c r="F39" s="109" t="str">
        <f>IFERROR(ROUND(IF(G34&gt;0,U40*U36,""),0),"")</f>
        <v/>
      </c>
      <c r="G39" s="111" t="str">
        <f>IF(G34&gt;0,"Duurz. inz.","")</f>
        <v/>
      </c>
      <c r="H39" s="108" t="str">
        <f>IFERROR(ROUND(IF(G34&gt;0,U41*U36,""),0),"")</f>
        <v/>
      </c>
      <c r="I39" s="49"/>
      <c r="J39" s="51"/>
      <c r="K39" s="194"/>
      <c r="L39" s="194"/>
      <c r="M39" s="194"/>
      <c r="N39" s="194"/>
      <c r="O39" s="194"/>
      <c r="P39" s="13"/>
      <c r="Q39" s="13"/>
      <c r="S39" s="105">
        <f>ROUND(S37*H10,0)</f>
        <v>0</v>
      </c>
      <c r="T39" s="104">
        <f>S37+S39</f>
        <v>0</v>
      </c>
      <c r="U39" s="106" t="e">
        <f t="shared" ref="U39:U42" si="0">S39/SUM($S$37:$S$42)</f>
        <v>#DIV/0!</v>
      </c>
      <c r="V39" s="105" t="e">
        <f t="shared" ref="V39:V42" si="1">U39*$U$36</f>
        <v>#DIV/0!</v>
      </c>
    </row>
    <row r="40" spans="1:22" ht="12.5" x14ac:dyDescent="0.25">
      <c r="A40" s="29"/>
      <c r="B40" s="13"/>
      <c r="C40" s="13"/>
      <c r="D40" s="9"/>
      <c r="E40" s="9"/>
      <c r="F40" s="13"/>
      <c r="G40" s="13"/>
      <c r="H40" s="13"/>
      <c r="I40" s="13"/>
      <c r="J40" s="43"/>
      <c r="K40" s="13"/>
      <c r="L40" s="13"/>
      <c r="M40" s="13"/>
      <c r="N40" s="13"/>
      <c r="O40" s="13"/>
      <c r="P40" s="13"/>
      <c r="Q40" s="13"/>
      <c r="S40" s="104">
        <f>ROUND(LEFT(H28,2)/40*2*41.475,0)</f>
        <v>0</v>
      </c>
      <c r="T40" s="105"/>
      <c r="U40" s="106" t="e">
        <f t="shared" si="0"/>
        <v>#DIV/0!</v>
      </c>
      <c r="V40" s="105" t="e">
        <f t="shared" si="1"/>
        <v>#DIV/0!</v>
      </c>
    </row>
    <row r="41" spans="1:22" ht="12.5" x14ac:dyDescent="0.25">
      <c r="A41" s="13" t="s">
        <v>38</v>
      </c>
      <c r="B41" s="13"/>
      <c r="C41" s="13"/>
      <c r="D41" s="9"/>
      <c r="E41" s="9"/>
      <c r="F41" s="13"/>
      <c r="G41" s="13"/>
      <c r="H41" s="13"/>
      <c r="I41" s="13"/>
      <c r="J41" s="43"/>
      <c r="K41" s="167" t="s">
        <v>40</v>
      </c>
      <c r="L41" s="167"/>
      <c r="M41" s="167"/>
      <c r="N41" s="167"/>
      <c r="O41" s="167"/>
      <c r="P41" s="13"/>
      <c r="Q41" s="13"/>
      <c r="R41" s="12" t="str">
        <f>IF(B37&gt;0,IF(B37&gt;SUM(F37:H37),"nog "&amp;B37-SUM(F37:H37)&amp;" uren te vullen",IF(B37=SUM(F37:H37),"verlof is verdeeld","te veel verlofuren ingevuld")),"")</f>
        <v/>
      </c>
      <c r="S41" s="104">
        <f>ROUND(IF(A37="",ROUND(LEFT(H28,2)/40*40,0),ROUND(VLOOKUP(B36,$S$51:$T$55,2,FALSE)*LEFT(H28,2)/40,0))-B37,0)</f>
        <v>0</v>
      </c>
      <c r="T41" s="105"/>
      <c r="U41" s="106" t="e">
        <f t="shared" si="0"/>
        <v>#DIV/0!</v>
      </c>
      <c r="V41" s="105" t="e">
        <f t="shared" si="1"/>
        <v>#DIV/0!</v>
      </c>
    </row>
    <row r="42" spans="1:22" ht="12.5" x14ac:dyDescent="0.25">
      <c r="A42" s="151" t="s">
        <v>39</v>
      </c>
      <c r="B42" s="13"/>
      <c r="C42" s="22"/>
      <c r="D42" s="9"/>
      <c r="E42" s="9"/>
      <c r="F42" s="13"/>
      <c r="G42" s="13"/>
      <c r="H42" s="13"/>
      <c r="I42" s="13"/>
      <c r="J42" s="43"/>
      <c r="K42" s="167"/>
      <c r="L42" s="167"/>
      <c r="M42" s="167"/>
      <c r="N42" s="167"/>
      <c r="O42" s="167"/>
      <c r="P42" s="13"/>
      <c r="Q42" s="13"/>
      <c r="S42" s="105">
        <f>IFERROR(ROUND(T59,0),0)</f>
        <v>0</v>
      </c>
      <c r="T42" s="105"/>
      <c r="U42" s="106" t="e">
        <f t="shared" si="0"/>
        <v>#DIV/0!</v>
      </c>
      <c r="V42" s="105" t="e">
        <f t="shared" si="1"/>
        <v>#DIV/0!</v>
      </c>
    </row>
    <row r="43" spans="1:22" ht="12.5" x14ac:dyDescent="0.25">
      <c r="A43" s="151" t="s">
        <v>41</v>
      </c>
      <c r="B43" s="13"/>
      <c r="C43" s="22"/>
      <c r="D43" s="9"/>
      <c r="E43" s="9"/>
      <c r="F43" s="13"/>
      <c r="G43" s="13"/>
      <c r="H43" s="13"/>
      <c r="I43" s="13"/>
      <c r="J43" s="43"/>
      <c r="K43" s="167"/>
      <c r="L43" s="167"/>
      <c r="M43" s="167"/>
      <c r="N43" s="167"/>
      <c r="O43" s="167"/>
      <c r="S43" s="56"/>
    </row>
    <row r="44" spans="1:22" ht="12.5" x14ac:dyDescent="0.25">
      <c r="A44" s="151" t="s">
        <v>42</v>
      </c>
      <c r="B44" s="13"/>
      <c r="C44" s="22"/>
      <c r="D44" s="9"/>
      <c r="E44" s="9"/>
      <c r="F44" s="13"/>
      <c r="G44" s="13"/>
      <c r="H44" s="13"/>
      <c r="I44" s="13"/>
      <c r="J44" s="43"/>
      <c r="K44" s="167"/>
      <c r="L44" s="167"/>
      <c r="M44" s="167"/>
      <c r="N44" s="167"/>
      <c r="O44" s="167"/>
      <c r="P44" s="13"/>
      <c r="Q44" s="13"/>
      <c r="S44" s="56"/>
    </row>
    <row r="45" spans="1:22" ht="12.5" x14ac:dyDescent="0.25">
      <c r="A45" s="151" t="s">
        <v>43</v>
      </c>
      <c r="B45" s="13"/>
      <c r="C45" s="22"/>
      <c r="D45" s="9"/>
      <c r="E45" s="9"/>
      <c r="F45" s="13"/>
      <c r="G45" s="13"/>
      <c r="H45" s="13"/>
      <c r="I45" s="13"/>
      <c r="J45" s="43"/>
      <c r="K45" s="43"/>
      <c r="L45" s="43"/>
      <c r="M45" s="43"/>
      <c r="N45" s="43"/>
      <c r="O45" s="43"/>
      <c r="P45" s="13"/>
      <c r="Q45" s="13"/>
      <c r="S45" s="56"/>
    </row>
    <row r="46" spans="1:22" ht="12.5" x14ac:dyDescent="0.25">
      <c r="A46" s="13" t="s">
        <v>21</v>
      </c>
      <c r="B46" s="13"/>
      <c r="C46" s="60">
        <f>SUM(C42:C45)</f>
        <v>0</v>
      </c>
      <c r="D46" s="9"/>
      <c r="E46" s="9"/>
      <c r="F46" s="13"/>
      <c r="G46" s="13"/>
      <c r="H46" s="13"/>
      <c r="I46" s="13"/>
      <c r="J46" s="43"/>
      <c r="K46" s="43"/>
      <c r="L46" s="43"/>
      <c r="M46" s="43"/>
      <c r="N46" s="43"/>
      <c r="O46" s="43"/>
      <c r="P46" s="13"/>
      <c r="Q46" s="13"/>
      <c r="S46" s="56"/>
    </row>
    <row r="47" spans="1:22" ht="13" thickBot="1" x14ac:dyDescent="0.3">
      <c r="A47" s="61"/>
      <c r="B47" s="62"/>
      <c r="C47" s="62"/>
      <c r="D47" s="63"/>
      <c r="E47" s="63"/>
      <c r="F47" s="62"/>
      <c r="G47" s="62"/>
      <c r="H47" s="62"/>
      <c r="I47" s="62"/>
      <c r="J47" s="90"/>
      <c r="K47" s="43"/>
      <c r="L47" s="43"/>
      <c r="M47" s="43"/>
      <c r="N47" s="43"/>
      <c r="O47" s="43"/>
      <c r="P47" s="13"/>
      <c r="Q47" s="13"/>
      <c r="S47" s="56"/>
    </row>
    <row r="48" spans="1:22" ht="12.5" x14ac:dyDescent="0.25">
      <c r="A48" s="13"/>
      <c r="B48" s="13"/>
      <c r="C48" s="13"/>
      <c r="D48" s="9"/>
      <c r="E48" s="9"/>
      <c r="F48" s="13"/>
      <c r="G48" s="13"/>
      <c r="H48" s="18"/>
      <c r="I48" s="18"/>
      <c r="S48" s="12" t="str">
        <f>IF(B36="Overgangsregeling 56+",ROUND(340*LEFT(H28,2)/40,0),IF(B36="Overgangsregeling 52+",ROUND(170*LEFT(H28,2)/40,0),IF(B36="Basis en bijzonder budget",ROUND(170*LEFT(H28,2)/40,0),"")))</f>
        <v/>
      </c>
    </row>
    <row r="49" spans="1:20" ht="12.5" x14ac:dyDescent="0.25">
      <c r="A49" s="18" t="s">
        <v>44</v>
      </c>
      <c r="B49" s="13"/>
      <c r="C49" s="13"/>
      <c r="D49" s="9"/>
      <c r="E49" s="9"/>
      <c r="F49" s="13"/>
      <c r="G49" s="13"/>
      <c r="H49" s="18"/>
      <c r="I49" s="18"/>
    </row>
    <row r="50" spans="1:20" ht="12.5" x14ac:dyDescent="0.25">
      <c r="A50" s="18"/>
      <c r="B50" s="13"/>
      <c r="C50" s="13"/>
      <c r="D50" s="9"/>
      <c r="E50" s="9"/>
      <c r="F50" s="13"/>
      <c r="G50" s="18"/>
      <c r="H50" s="18"/>
      <c r="I50" s="18"/>
    </row>
    <row r="51" spans="1:20" ht="12.5" x14ac:dyDescent="0.25">
      <c r="A51" s="18" t="s">
        <v>45</v>
      </c>
      <c r="B51" s="9"/>
      <c r="C51" s="13"/>
      <c r="E51" s="65" t="s">
        <v>46</v>
      </c>
      <c r="F51" s="13"/>
      <c r="G51" s="18"/>
      <c r="H51" s="9"/>
      <c r="S51" s="12" t="s">
        <v>47</v>
      </c>
      <c r="T51" s="12">
        <v>170</v>
      </c>
    </row>
    <row r="52" spans="1:20" ht="12.5" x14ac:dyDescent="0.25">
      <c r="A52" s="66" t="s">
        <v>48</v>
      </c>
      <c r="C52" s="93">
        <f>IFERROR(ROUND(IF(G34&gt;0,T57-V37,T57-F37),0),0)</f>
        <v>0</v>
      </c>
      <c r="D52" s="68"/>
      <c r="E52" s="66" t="s">
        <v>49</v>
      </c>
      <c r="F52" s="18"/>
      <c r="G52" s="69">
        <f>IFERROR(ROUND(LEFT(H28,2)/40*2*41.475-V40,0),0)</f>
        <v>0</v>
      </c>
      <c r="H52" s="9"/>
      <c r="S52" s="12" t="s">
        <v>50</v>
      </c>
      <c r="T52" s="12">
        <v>340</v>
      </c>
    </row>
    <row r="53" spans="1:20" ht="12.5" x14ac:dyDescent="0.25">
      <c r="A53" s="66" t="s">
        <v>51</v>
      </c>
      <c r="B53" s="66"/>
      <c r="C53" s="93">
        <f>IFERROR(ROUND(IF(G34&gt;0,T58-V39,IF(B37&gt;0,T58-G37,T58)),0),0)</f>
        <v>0</v>
      </c>
      <c r="D53" s="67"/>
      <c r="E53" s="66" t="s">
        <v>89</v>
      </c>
      <c r="F53" s="18"/>
      <c r="G53" s="69">
        <f>IFERROR(ROUND(IF(A37="",ROUND(LEFT(H28,2)/40*40,0),ROUND(VLOOKUP(B36,$S$51:$T$55,2,FALSE)*LEFT(H28,2)/40,0))-B37-V41,0),0)</f>
        <v>0</v>
      </c>
      <c r="H53" s="72"/>
      <c r="I53" s="72"/>
      <c r="K53" s="71"/>
      <c r="L53" s="71"/>
      <c r="M53" s="71"/>
      <c r="N53" s="71"/>
      <c r="O53" s="71"/>
      <c r="P53" s="72"/>
      <c r="Q53" s="72"/>
      <c r="S53" s="12" t="s">
        <v>53</v>
      </c>
      <c r="T53" s="12">
        <v>170</v>
      </c>
    </row>
    <row r="54" spans="1:20" ht="13" thickBot="1" x14ac:dyDescent="0.3">
      <c r="A54" s="66" t="s">
        <v>54</v>
      </c>
      <c r="B54" s="66"/>
      <c r="C54" s="93">
        <f>C46</f>
        <v>0</v>
      </c>
      <c r="D54" s="67"/>
      <c r="E54" s="9" t="str">
        <f>IF(B37&gt;0,"Verlof duurz. inz.",IF(G34&gt;0,"Ouderschapsverlof",""))</f>
        <v/>
      </c>
      <c r="F54" s="9"/>
      <c r="G54" s="69">
        <f>ROUND(IF(E54="",0,IF(B37&gt;0,B37,U36)),0)</f>
        <v>0</v>
      </c>
      <c r="H54" s="72"/>
      <c r="I54" s="72"/>
      <c r="K54" s="71"/>
      <c r="L54" s="71"/>
      <c r="M54" s="71"/>
      <c r="N54" s="71"/>
      <c r="O54" s="71"/>
      <c r="P54" s="72"/>
      <c r="Q54" s="72"/>
    </row>
    <row r="55" spans="1:20" ht="13" thickBot="1" x14ac:dyDescent="0.3">
      <c r="A55" s="74" t="s">
        <v>55</v>
      </c>
      <c r="B55" s="74"/>
      <c r="C55" s="96">
        <f>SUM(C52:C54)</f>
        <v>0</v>
      </c>
      <c r="D55" s="16"/>
      <c r="E55" s="13" t="s">
        <v>21</v>
      </c>
      <c r="F55" s="18"/>
      <c r="G55" s="76">
        <f>SUM(G52:G54)</f>
        <v>0</v>
      </c>
      <c r="H55" s="9"/>
      <c r="S55" s="56" t="s">
        <v>56</v>
      </c>
      <c r="T55" s="56">
        <v>40</v>
      </c>
    </row>
    <row r="56" spans="1:20" ht="12.5" x14ac:dyDescent="0.25">
      <c r="A56" s="149"/>
      <c r="B56" s="13"/>
      <c r="C56" s="16"/>
      <c r="D56" s="13"/>
      <c r="E56" s="13"/>
      <c r="F56" s="18"/>
      <c r="G56" s="18"/>
      <c r="H56" s="9"/>
    </row>
    <row r="57" spans="1:20" ht="12.5" x14ac:dyDescent="0.25">
      <c r="A57" s="33" t="s">
        <v>57</v>
      </c>
      <c r="C57" s="74"/>
      <c r="D57" s="16"/>
      <c r="E57" s="168" t="str">
        <f>IF(C101&lt;0,"LET OP:","")</f>
        <v/>
      </c>
      <c r="F57" s="168"/>
      <c r="G57" s="168"/>
      <c r="H57" s="168"/>
      <c r="K57" s="169" t="s">
        <v>90</v>
      </c>
      <c r="L57" s="169"/>
      <c r="M57" s="169"/>
      <c r="N57" s="169"/>
      <c r="O57" s="169"/>
      <c r="S57" s="66" t="s">
        <v>48</v>
      </c>
      <c r="T57" s="12">
        <f>ROUND(F23*C10+D28-G33,0)</f>
        <v>0</v>
      </c>
    </row>
    <row r="58" spans="1:20" ht="12.5" x14ac:dyDescent="0.25">
      <c r="A58" s="7" t="s">
        <v>59</v>
      </c>
      <c r="B58" s="9"/>
      <c r="C58" s="15"/>
      <c r="D58" s="9"/>
      <c r="E58" s="168"/>
      <c r="F58" s="168"/>
      <c r="G58" s="168"/>
      <c r="H58" s="168"/>
      <c r="K58" s="169"/>
      <c r="L58" s="169"/>
      <c r="M58" s="169"/>
      <c r="N58" s="169"/>
      <c r="O58" s="169"/>
      <c r="S58" s="66" t="s">
        <v>51</v>
      </c>
      <c r="T58" s="12">
        <f>ROUND(T57*H10,0)</f>
        <v>0</v>
      </c>
    </row>
    <row r="59" spans="1:20" ht="12.75" customHeight="1" x14ac:dyDescent="0.25">
      <c r="A59" s="24" t="s">
        <v>60</v>
      </c>
      <c r="B59" s="9"/>
      <c r="C59" s="15"/>
      <c r="D59" s="204" t="str">
        <f>IF(C101&lt;0,"De werktijdfactor is te laag om adeze taken te kunnen vervullen. Vul in cel D29 extra uren in of verstrek een extra dagdeel.","")</f>
        <v/>
      </c>
      <c r="E59" s="170"/>
      <c r="F59" s="170"/>
      <c r="G59" s="170"/>
      <c r="H59" s="170"/>
      <c r="K59" s="169"/>
      <c r="L59" s="169"/>
      <c r="M59" s="169"/>
      <c r="N59" s="169"/>
      <c r="O59" s="169"/>
      <c r="S59" s="8" t="s">
        <v>70</v>
      </c>
      <c r="T59" s="12">
        <f>ROUND(1659*(LEFT(H28,2)/40)-T58-T57-ROUND(IF(A37="",ROUND(LEFT(H28,2)/40*40,0),ROUND(VLOOKUP(B36,$S$51:$T$55,2,FALSE)*LEFT(H28,2)/40,0))-B37,0)-ROUND(LEFT(H28,2)/40*2*41.475,0)-C46,0)</f>
        <v>0</v>
      </c>
    </row>
    <row r="60" spans="1:20" ht="12.75" customHeight="1" x14ac:dyDescent="0.25">
      <c r="A60" s="24" t="s">
        <v>61</v>
      </c>
      <c r="B60" s="9"/>
      <c r="C60" s="15"/>
      <c r="D60" s="204"/>
      <c r="E60" s="170"/>
      <c r="F60" s="170"/>
      <c r="G60" s="170"/>
      <c r="H60" s="170"/>
      <c r="K60" s="169"/>
      <c r="L60" s="169"/>
      <c r="M60" s="169"/>
      <c r="N60" s="169"/>
      <c r="O60" s="169"/>
    </row>
    <row r="61" spans="1:20" ht="12.75" customHeight="1" x14ac:dyDescent="0.25">
      <c r="A61" s="24" t="s">
        <v>62</v>
      </c>
      <c r="B61" s="9"/>
      <c r="C61" s="15"/>
      <c r="D61" s="154"/>
      <c r="E61" s="17"/>
      <c r="F61" s="17"/>
      <c r="G61" s="17"/>
      <c r="H61" s="17"/>
      <c r="I61" s="17"/>
      <c r="K61" s="169"/>
      <c r="L61" s="169"/>
      <c r="M61" s="169"/>
      <c r="N61" s="169"/>
      <c r="O61" s="169"/>
    </row>
    <row r="62" spans="1:20" ht="12.5" x14ac:dyDescent="0.25">
      <c r="A62" s="24" t="s">
        <v>64</v>
      </c>
      <c r="B62" s="9"/>
      <c r="C62" s="15"/>
      <c r="D62" s="154"/>
      <c r="E62" s="171" t="s">
        <v>63</v>
      </c>
      <c r="F62" s="171"/>
      <c r="G62" s="171"/>
      <c r="H62" s="171"/>
      <c r="I62" s="17"/>
    </row>
    <row r="63" spans="1:20" ht="12.5" x14ac:dyDescent="0.25">
      <c r="A63" s="24" t="s">
        <v>64</v>
      </c>
      <c r="B63" s="9"/>
      <c r="C63" s="15"/>
      <c r="D63" s="16"/>
      <c r="E63" s="16"/>
      <c r="F63" s="133" t="s">
        <v>49</v>
      </c>
      <c r="G63" s="134"/>
      <c r="H63" s="135" t="s">
        <v>52</v>
      </c>
      <c r="I63" s="17"/>
      <c r="S63" s="78">
        <f>1659/40*LEFT(H28,2)</f>
        <v>0</v>
      </c>
    </row>
    <row r="64" spans="1:20" ht="12.75" customHeight="1" x14ac:dyDescent="0.25">
      <c r="A64" s="24" t="s">
        <v>64</v>
      </c>
      <c r="B64" s="9"/>
      <c r="C64" s="15"/>
      <c r="D64" s="16"/>
      <c r="E64" s="136" t="s">
        <v>61</v>
      </c>
      <c r="F64" s="15"/>
      <c r="G64" s="137" t="s">
        <v>65</v>
      </c>
      <c r="H64" s="15"/>
      <c r="I64" s="17"/>
    </row>
    <row r="65" spans="1:9" ht="12.5" x14ac:dyDescent="0.25">
      <c r="A65" s="24" t="s">
        <v>64</v>
      </c>
      <c r="B65" s="9"/>
      <c r="C65" s="15"/>
      <c r="D65" s="16"/>
      <c r="E65" s="136" t="s">
        <v>66</v>
      </c>
      <c r="F65" s="15"/>
      <c r="G65" s="137" t="s">
        <v>67</v>
      </c>
      <c r="H65" s="15"/>
      <c r="I65" s="17"/>
    </row>
    <row r="66" spans="1:9" ht="12.5" x14ac:dyDescent="0.25">
      <c r="A66" s="24" t="s">
        <v>64</v>
      </c>
      <c r="B66" s="9"/>
      <c r="C66" s="15"/>
      <c r="D66" s="16"/>
      <c r="E66" s="138" t="s">
        <v>64</v>
      </c>
      <c r="F66" s="15"/>
      <c r="G66" s="137" t="s">
        <v>68</v>
      </c>
      <c r="H66" s="15"/>
      <c r="I66" s="17"/>
    </row>
    <row r="67" spans="1:9" ht="12.5" x14ac:dyDescent="0.25">
      <c r="A67" s="24" t="s">
        <v>64</v>
      </c>
      <c r="B67" s="9"/>
      <c r="C67" s="15"/>
      <c r="D67" s="16"/>
      <c r="E67" s="138" t="s">
        <v>64</v>
      </c>
      <c r="F67" s="15"/>
      <c r="G67" s="138" t="s">
        <v>64</v>
      </c>
      <c r="H67" s="15"/>
      <c r="I67" s="17"/>
    </row>
    <row r="68" spans="1:9" ht="12.5" hidden="1" x14ac:dyDescent="0.25">
      <c r="A68" s="24" t="s">
        <v>64</v>
      </c>
      <c r="B68" s="9"/>
      <c r="C68" s="15"/>
      <c r="D68" s="16"/>
      <c r="E68" s="138" t="s">
        <v>64</v>
      </c>
      <c r="F68" s="15"/>
      <c r="G68" s="138" t="s">
        <v>64</v>
      </c>
      <c r="H68" s="15"/>
      <c r="I68" s="17"/>
    </row>
    <row r="69" spans="1:9" ht="12.5" hidden="1" x14ac:dyDescent="0.25">
      <c r="A69" s="24" t="s">
        <v>64</v>
      </c>
      <c r="B69" s="9"/>
      <c r="C69" s="15"/>
      <c r="D69" s="16"/>
      <c r="E69" s="138" t="s">
        <v>64</v>
      </c>
      <c r="F69" s="15"/>
      <c r="G69" s="138" t="s">
        <v>64</v>
      </c>
      <c r="H69" s="15"/>
      <c r="I69" s="17"/>
    </row>
    <row r="70" spans="1:9" ht="12.5" hidden="1" x14ac:dyDescent="0.25">
      <c r="A70" s="24" t="s">
        <v>64</v>
      </c>
      <c r="B70" s="9"/>
      <c r="C70" s="15"/>
      <c r="D70" s="16"/>
      <c r="E70" s="138" t="s">
        <v>64</v>
      </c>
      <c r="F70" s="15"/>
      <c r="G70" s="138" t="s">
        <v>64</v>
      </c>
      <c r="H70" s="15"/>
      <c r="I70" s="17"/>
    </row>
    <row r="71" spans="1:9" ht="12.5" hidden="1" x14ac:dyDescent="0.25">
      <c r="A71" s="24" t="s">
        <v>64</v>
      </c>
      <c r="B71" s="9"/>
      <c r="C71" s="15"/>
      <c r="D71" s="16"/>
      <c r="E71" s="138" t="s">
        <v>64</v>
      </c>
      <c r="F71" s="15"/>
      <c r="G71" s="138" t="s">
        <v>64</v>
      </c>
      <c r="H71" s="15"/>
      <c r="I71" s="17"/>
    </row>
    <row r="72" spans="1:9" ht="12.5" hidden="1" x14ac:dyDescent="0.25">
      <c r="A72" s="24" t="s">
        <v>64</v>
      </c>
      <c r="B72" s="9"/>
      <c r="C72" s="15"/>
      <c r="D72" s="16"/>
      <c r="E72" s="138" t="s">
        <v>64</v>
      </c>
      <c r="F72" s="15"/>
      <c r="G72" s="138" t="s">
        <v>64</v>
      </c>
      <c r="H72" s="15"/>
      <c r="I72" s="17"/>
    </row>
    <row r="73" spans="1:9" ht="12.5" hidden="1" x14ac:dyDescent="0.25">
      <c r="A73" s="24" t="s">
        <v>64</v>
      </c>
      <c r="B73" s="9"/>
      <c r="C73" s="15"/>
      <c r="D73" s="16"/>
      <c r="E73" s="138" t="s">
        <v>64</v>
      </c>
      <c r="F73" s="15"/>
      <c r="G73" s="138" t="s">
        <v>64</v>
      </c>
      <c r="H73" s="15"/>
      <c r="I73" s="17"/>
    </row>
    <row r="74" spans="1:9" ht="12.5" hidden="1" x14ac:dyDescent="0.25">
      <c r="A74" s="24" t="s">
        <v>64</v>
      </c>
      <c r="B74" s="9"/>
      <c r="C74" s="15"/>
      <c r="D74" s="16"/>
      <c r="E74" s="138" t="s">
        <v>64</v>
      </c>
      <c r="F74" s="15"/>
      <c r="G74" s="138" t="s">
        <v>64</v>
      </c>
      <c r="H74" s="15"/>
      <c r="I74" s="17"/>
    </row>
    <row r="75" spans="1:9" ht="12.5" hidden="1" x14ac:dyDescent="0.25">
      <c r="A75" s="24" t="s">
        <v>64</v>
      </c>
      <c r="B75" s="9"/>
      <c r="C75" s="15"/>
      <c r="D75" s="16"/>
      <c r="E75" s="138" t="s">
        <v>64</v>
      </c>
      <c r="F75" s="15"/>
      <c r="G75" s="138" t="s">
        <v>64</v>
      </c>
      <c r="H75" s="15"/>
      <c r="I75" s="17"/>
    </row>
    <row r="76" spans="1:9" ht="12.5" hidden="1" x14ac:dyDescent="0.25">
      <c r="A76" s="24" t="s">
        <v>64</v>
      </c>
      <c r="B76" s="9"/>
      <c r="C76" s="15"/>
      <c r="D76" s="16"/>
      <c r="E76" s="138" t="s">
        <v>64</v>
      </c>
      <c r="F76" s="15"/>
      <c r="G76" s="138" t="s">
        <v>64</v>
      </c>
      <c r="H76" s="15"/>
      <c r="I76" s="17"/>
    </row>
    <row r="77" spans="1:9" ht="12.5" hidden="1" x14ac:dyDescent="0.25">
      <c r="A77" s="24" t="s">
        <v>64</v>
      </c>
      <c r="B77" s="9"/>
      <c r="C77" s="15"/>
      <c r="D77" s="16"/>
      <c r="E77" s="138" t="s">
        <v>64</v>
      </c>
      <c r="F77" s="15"/>
      <c r="G77" s="138" t="s">
        <v>64</v>
      </c>
      <c r="H77" s="15"/>
      <c r="I77" s="17"/>
    </row>
    <row r="78" spans="1:9" ht="12.5" hidden="1" x14ac:dyDescent="0.25">
      <c r="A78" s="24" t="s">
        <v>64</v>
      </c>
      <c r="B78" s="9"/>
      <c r="C78" s="15"/>
      <c r="D78" s="16"/>
      <c r="E78" s="138" t="s">
        <v>64</v>
      </c>
      <c r="F78" s="15"/>
      <c r="G78" s="138" t="s">
        <v>64</v>
      </c>
      <c r="H78" s="15"/>
      <c r="I78" s="17"/>
    </row>
    <row r="79" spans="1:9" ht="12.5" hidden="1" x14ac:dyDescent="0.25">
      <c r="A79" s="24" t="s">
        <v>64</v>
      </c>
      <c r="B79" s="9"/>
      <c r="C79" s="15"/>
      <c r="D79" s="16"/>
      <c r="E79" s="138" t="s">
        <v>64</v>
      </c>
      <c r="F79" s="15"/>
      <c r="G79" s="138" t="s">
        <v>64</v>
      </c>
      <c r="H79" s="15"/>
      <c r="I79" s="17"/>
    </row>
    <row r="80" spans="1:9" ht="12.5" hidden="1" x14ac:dyDescent="0.25">
      <c r="A80" s="24" t="s">
        <v>64</v>
      </c>
      <c r="B80" s="9"/>
      <c r="C80" s="15"/>
      <c r="D80" s="16"/>
      <c r="E80" s="138" t="s">
        <v>64</v>
      </c>
      <c r="F80" s="15"/>
      <c r="G80" s="138" t="s">
        <v>64</v>
      </c>
      <c r="H80" s="15"/>
      <c r="I80" s="17"/>
    </row>
    <row r="81" spans="1:9" ht="12.5" hidden="1" x14ac:dyDescent="0.25">
      <c r="A81" s="24" t="s">
        <v>64</v>
      </c>
      <c r="B81" s="9"/>
      <c r="C81" s="15"/>
      <c r="D81" s="16"/>
      <c r="E81" s="138" t="s">
        <v>64</v>
      </c>
      <c r="F81" s="15"/>
      <c r="G81" s="138" t="s">
        <v>64</v>
      </c>
      <c r="H81" s="15"/>
      <c r="I81" s="17"/>
    </row>
    <row r="82" spans="1:9" ht="12.5" hidden="1" x14ac:dyDescent="0.25">
      <c r="A82" s="24" t="s">
        <v>64</v>
      </c>
      <c r="B82" s="9"/>
      <c r="C82" s="15"/>
      <c r="D82" s="16"/>
      <c r="E82" s="138" t="s">
        <v>64</v>
      </c>
      <c r="F82" s="15"/>
      <c r="G82" s="138" t="s">
        <v>64</v>
      </c>
      <c r="H82" s="15"/>
      <c r="I82" s="17"/>
    </row>
    <row r="83" spans="1:9" ht="12.5" hidden="1" x14ac:dyDescent="0.25">
      <c r="A83" s="24" t="s">
        <v>64</v>
      </c>
      <c r="B83" s="9"/>
      <c r="C83" s="15"/>
      <c r="D83" s="16"/>
      <c r="E83" s="138" t="s">
        <v>64</v>
      </c>
      <c r="F83" s="15"/>
      <c r="G83" s="138" t="s">
        <v>64</v>
      </c>
      <c r="H83" s="15"/>
      <c r="I83" s="17"/>
    </row>
    <row r="84" spans="1:9" ht="12.5" hidden="1" x14ac:dyDescent="0.25">
      <c r="A84" s="24" t="s">
        <v>64</v>
      </c>
      <c r="B84" s="9"/>
      <c r="C84" s="15"/>
      <c r="D84" s="16"/>
      <c r="E84" s="138" t="s">
        <v>64</v>
      </c>
      <c r="F84" s="15"/>
      <c r="G84" s="138" t="s">
        <v>64</v>
      </c>
      <c r="H84" s="15"/>
      <c r="I84" s="17"/>
    </row>
    <row r="85" spans="1:9" ht="12.5" hidden="1" x14ac:dyDescent="0.25">
      <c r="A85" s="24" t="s">
        <v>64</v>
      </c>
      <c r="B85" s="9"/>
      <c r="C85" s="15"/>
      <c r="D85" s="16"/>
      <c r="E85" s="138" t="s">
        <v>64</v>
      </c>
      <c r="F85" s="15"/>
      <c r="G85" s="138" t="s">
        <v>64</v>
      </c>
      <c r="H85" s="15"/>
      <c r="I85" s="17"/>
    </row>
    <row r="86" spans="1:9" ht="12.5" hidden="1" x14ac:dyDescent="0.25">
      <c r="A86" s="24" t="s">
        <v>64</v>
      </c>
      <c r="B86" s="9"/>
      <c r="C86" s="15"/>
      <c r="D86" s="16"/>
      <c r="E86" s="138" t="s">
        <v>64</v>
      </c>
      <c r="F86" s="15"/>
      <c r="G86" s="138" t="s">
        <v>64</v>
      </c>
      <c r="H86" s="15"/>
      <c r="I86" s="17"/>
    </row>
    <row r="87" spans="1:9" ht="12.5" hidden="1" x14ac:dyDescent="0.25">
      <c r="A87" s="24" t="s">
        <v>64</v>
      </c>
      <c r="B87" s="9"/>
      <c r="C87" s="15"/>
      <c r="D87" s="16"/>
      <c r="E87" s="138" t="s">
        <v>64</v>
      </c>
      <c r="F87" s="15"/>
      <c r="G87" s="138" t="s">
        <v>64</v>
      </c>
      <c r="H87" s="15"/>
      <c r="I87" s="17"/>
    </row>
    <row r="88" spans="1:9" ht="12.5" hidden="1" x14ac:dyDescent="0.25">
      <c r="A88" s="24" t="s">
        <v>64</v>
      </c>
      <c r="B88" s="9"/>
      <c r="C88" s="15"/>
      <c r="D88" s="16"/>
      <c r="E88" s="138" t="s">
        <v>64</v>
      </c>
      <c r="F88" s="15"/>
      <c r="G88" s="138" t="s">
        <v>64</v>
      </c>
      <c r="H88" s="15"/>
      <c r="I88" s="17"/>
    </row>
    <row r="89" spans="1:9" ht="12.5" hidden="1" x14ac:dyDescent="0.25">
      <c r="A89" s="24" t="s">
        <v>64</v>
      </c>
      <c r="B89" s="9"/>
      <c r="C89" s="15"/>
      <c r="D89" s="16"/>
      <c r="E89" s="138" t="s">
        <v>64</v>
      </c>
      <c r="F89" s="15"/>
      <c r="G89" s="138" t="s">
        <v>64</v>
      </c>
      <c r="H89" s="15"/>
      <c r="I89" s="17"/>
    </row>
    <row r="90" spans="1:9" ht="12.5" hidden="1" x14ac:dyDescent="0.25">
      <c r="A90" s="24" t="s">
        <v>64</v>
      </c>
      <c r="B90" s="9"/>
      <c r="C90" s="15"/>
      <c r="D90" s="16"/>
      <c r="E90" s="138" t="s">
        <v>64</v>
      </c>
      <c r="F90" s="15"/>
      <c r="G90" s="138" t="s">
        <v>64</v>
      </c>
      <c r="H90" s="15"/>
      <c r="I90" s="17"/>
    </row>
    <row r="91" spans="1:9" ht="12.5" hidden="1" x14ac:dyDescent="0.25">
      <c r="A91" s="24" t="s">
        <v>64</v>
      </c>
      <c r="B91" s="9"/>
      <c r="C91" s="15"/>
      <c r="D91" s="16"/>
      <c r="E91" s="138" t="s">
        <v>64</v>
      </c>
      <c r="F91" s="15"/>
      <c r="G91" s="138" t="s">
        <v>64</v>
      </c>
      <c r="H91" s="15"/>
      <c r="I91" s="17"/>
    </row>
    <row r="92" spans="1:9" ht="12.5" hidden="1" x14ac:dyDescent="0.25">
      <c r="A92" s="24" t="s">
        <v>64</v>
      </c>
      <c r="B92" s="9"/>
      <c r="C92" s="15"/>
      <c r="D92" s="16"/>
      <c r="E92" s="138" t="s">
        <v>64</v>
      </c>
      <c r="F92" s="15"/>
      <c r="G92" s="138" t="s">
        <v>64</v>
      </c>
      <c r="H92" s="15"/>
      <c r="I92" s="17"/>
    </row>
    <row r="93" spans="1:9" ht="12.5" hidden="1" x14ac:dyDescent="0.25">
      <c r="A93" s="24" t="s">
        <v>64</v>
      </c>
      <c r="B93" s="9"/>
      <c r="C93" s="15"/>
      <c r="D93" s="16"/>
      <c r="E93" s="138" t="s">
        <v>64</v>
      </c>
      <c r="F93" s="15"/>
      <c r="G93" s="138" t="s">
        <v>64</v>
      </c>
      <c r="H93" s="15"/>
      <c r="I93" s="17"/>
    </row>
    <row r="94" spans="1:9" ht="12.5" hidden="1" x14ac:dyDescent="0.25">
      <c r="A94" s="24" t="s">
        <v>64</v>
      </c>
      <c r="B94" s="9"/>
      <c r="C94" s="15"/>
      <c r="D94" s="16"/>
      <c r="E94" s="138" t="s">
        <v>64</v>
      </c>
      <c r="F94" s="15"/>
      <c r="G94" s="138" t="s">
        <v>64</v>
      </c>
      <c r="H94" s="15"/>
      <c r="I94" s="17"/>
    </row>
    <row r="95" spans="1:9" ht="12.5" hidden="1" x14ac:dyDescent="0.25">
      <c r="A95" s="24" t="s">
        <v>64</v>
      </c>
      <c r="B95" s="9"/>
      <c r="C95" s="15"/>
      <c r="D95" s="16"/>
      <c r="E95" s="138" t="s">
        <v>64</v>
      </c>
      <c r="F95" s="15"/>
      <c r="G95" s="138" t="s">
        <v>64</v>
      </c>
      <c r="H95" s="15"/>
      <c r="I95" s="17"/>
    </row>
    <row r="96" spans="1:9" ht="12.5" hidden="1" x14ac:dyDescent="0.25">
      <c r="A96" s="24" t="s">
        <v>64</v>
      </c>
      <c r="B96" s="9"/>
      <c r="C96" s="15"/>
      <c r="D96" s="16"/>
      <c r="E96" s="138" t="s">
        <v>64</v>
      </c>
      <c r="F96" s="15"/>
      <c r="G96" s="138" t="s">
        <v>64</v>
      </c>
      <c r="H96" s="15"/>
      <c r="I96" s="17"/>
    </row>
    <row r="97" spans="1:15" ht="12.5" hidden="1" x14ac:dyDescent="0.25">
      <c r="A97" s="24" t="s">
        <v>64</v>
      </c>
      <c r="B97" s="9"/>
      <c r="C97" s="15"/>
      <c r="D97" s="16"/>
      <c r="E97" s="138" t="s">
        <v>64</v>
      </c>
      <c r="F97" s="15"/>
      <c r="G97" s="138" t="s">
        <v>64</v>
      </c>
      <c r="H97" s="15"/>
      <c r="I97" s="17"/>
    </row>
    <row r="98" spans="1:15" ht="12.5" hidden="1" x14ac:dyDescent="0.25">
      <c r="A98" s="24" t="s">
        <v>64</v>
      </c>
      <c r="B98" s="9"/>
      <c r="C98" s="15"/>
      <c r="D98" s="16"/>
      <c r="E98" s="138" t="s">
        <v>64</v>
      </c>
      <c r="F98" s="15"/>
      <c r="G98" s="138" t="s">
        <v>64</v>
      </c>
      <c r="H98" s="15"/>
      <c r="I98" s="17"/>
    </row>
    <row r="99" spans="1:15" ht="13" thickBot="1" x14ac:dyDescent="0.3">
      <c r="A99" s="151" t="s">
        <v>64</v>
      </c>
      <c r="B99" s="9"/>
      <c r="C99" s="15"/>
      <c r="D99" s="9"/>
      <c r="E99" s="139" t="s">
        <v>71</v>
      </c>
      <c r="F99" s="140">
        <f>G52-SUM(F64:F98)</f>
        <v>0</v>
      </c>
      <c r="G99" s="139" t="s">
        <v>71</v>
      </c>
      <c r="H99" s="140">
        <f>G53-SUM(H64:H98)</f>
        <v>0</v>
      </c>
      <c r="I99" s="17"/>
    </row>
    <row r="100" spans="1:15" ht="13" thickBot="1" x14ac:dyDescent="0.3">
      <c r="A100" s="7" t="s">
        <v>69</v>
      </c>
      <c r="B100" s="9"/>
      <c r="C100" s="15"/>
      <c r="D100" s="9"/>
      <c r="E100" s="154" t="s">
        <v>21</v>
      </c>
      <c r="F100" s="76">
        <f>SUM(F64:F99)</f>
        <v>0</v>
      </c>
      <c r="G100" s="154" t="s">
        <v>21</v>
      </c>
      <c r="H100" s="76">
        <f>SUM(H64:H99)</f>
        <v>0</v>
      </c>
    </row>
    <row r="101" spans="1:15" ht="13" thickBot="1" x14ac:dyDescent="0.3">
      <c r="A101" s="9" t="s">
        <v>70</v>
      </c>
      <c r="B101" s="9"/>
      <c r="C101" s="10">
        <f>IFERROR(IF(G34&gt;0,ROUND(T59-SUM(C58:C100)-V42,0),ROUND(T59-H37-SUM(C58:C100),0)),0)</f>
        <v>0</v>
      </c>
      <c r="D101" s="9"/>
      <c r="E101" s="9"/>
      <c r="F101" s="9"/>
      <c r="G101" s="9"/>
      <c r="H101" s="9"/>
    </row>
    <row r="102" spans="1:15" ht="13" thickBot="1" x14ac:dyDescent="0.3">
      <c r="A102" s="13" t="s">
        <v>72</v>
      </c>
      <c r="B102" s="9"/>
      <c r="C102" s="14">
        <f>SUM(C58:C101)</f>
        <v>0</v>
      </c>
      <c r="D102" s="9"/>
      <c r="E102" s="9"/>
      <c r="F102" s="9"/>
      <c r="G102" s="9"/>
      <c r="H102" s="9"/>
    </row>
    <row r="103" spans="1:15" s="9" customFormat="1" ht="12.5" x14ac:dyDescent="0.25">
      <c r="J103" s="21"/>
      <c r="K103" s="21"/>
      <c r="L103" s="21"/>
      <c r="M103" s="21"/>
      <c r="N103" s="21"/>
      <c r="O103" s="21"/>
    </row>
    <row r="104" spans="1:15" ht="12.5" hidden="1" x14ac:dyDescent="0.25"/>
    <row r="105" spans="1:15" ht="12.5" hidden="1" x14ac:dyDescent="0.25"/>
    <row r="106" spans="1:15" ht="12.5" hidden="1" x14ac:dyDescent="0.25"/>
    <row r="107" spans="1:15" ht="12.5" hidden="1" x14ac:dyDescent="0.25"/>
    <row r="108" spans="1:15" ht="12.5" hidden="1" x14ac:dyDescent="0.25"/>
    <row r="109" spans="1:15" ht="12.5" hidden="1" x14ac:dyDescent="0.25"/>
    <row r="110" spans="1:15" ht="12.5" hidden="1" x14ac:dyDescent="0.25"/>
  </sheetData>
  <sheetProtection algorithmName="SHA-512" hashValue="Kiv2yJz9wmaCOVswJ/G1bekuysCzwncrwPYXbgyKP8UK1fe61L53xnS0s8DLsyf6iqe6whguxfqi1y10CagDhA==" saltValue="tQ9I6hxKNOrtPAh+7OzS1g==" spinCount="100000" sheet="1" objects="1" scenarios="1" formatColumns="0" formatRows="0" insertColumns="0" insertRows="0" selectLockedCells="1"/>
  <mergeCells count="38">
    <mergeCell ref="D59:H60"/>
    <mergeCell ref="E62:H62"/>
    <mergeCell ref="K41:O44"/>
    <mergeCell ref="K57:O61"/>
    <mergeCell ref="E57:H58"/>
    <mergeCell ref="K31:O32"/>
    <mergeCell ref="B35:C35"/>
    <mergeCell ref="E35:H35"/>
    <mergeCell ref="K35:O39"/>
    <mergeCell ref="B36:C36"/>
    <mergeCell ref="A38:C38"/>
    <mergeCell ref="C24:E24"/>
    <mergeCell ref="F25:G26"/>
    <mergeCell ref="H25:H26"/>
    <mergeCell ref="B33:C33"/>
    <mergeCell ref="B34:C34"/>
    <mergeCell ref="B16:B17"/>
    <mergeCell ref="C16:D16"/>
    <mergeCell ref="F16:F17"/>
    <mergeCell ref="G16:H16"/>
    <mergeCell ref="C23:D23"/>
    <mergeCell ref="G23:H23"/>
    <mergeCell ref="B8:I8"/>
    <mergeCell ref="B7:D7"/>
    <mergeCell ref="B5:D5"/>
    <mergeCell ref="B6:D6"/>
    <mergeCell ref="B15:D15"/>
    <mergeCell ref="F15:H15"/>
    <mergeCell ref="K28:O30"/>
    <mergeCell ref="K12:O15"/>
    <mergeCell ref="K16:O26"/>
    <mergeCell ref="F28:G29"/>
    <mergeCell ref="H28:H29"/>
    <mergeCell ref="C2:D2"/>
    <mergeCell ref="F5:G5"/>
    <mergeCell ref="H5:I5"/>
    <mergeCell ref="F6:G6"/>
    <mergeCell ref="H6:I6"/>
  </mergeCells>
  <conditionalFormatting sqref="B37">
    <cfRule type="cellIs" dxfId="69" priority="17" operator="equal">
      <formula>$A$37&lt;&gt;"Aantal uur verlof"</formula>
    </cfRule>
    <cfRule type="cellIs" dxfId="68" priority="18" operator="equal">
      <formula>""""""</formula>
    </cfRule>
    <cfRule type="cellIs" dxfId="67" priority="19" operator="between">
      <formula>1</formula>
      <formula>500</formula>
    </cfRule>
  </conditionalFormatting>
  <conditionalFormatting sqref="B36:C36">
    <cfRule type="containsText" dxfId="66" priority="20" operator="containsText" text="e">
      <formula>NOT(ISERROR(SEARCH("e",B36)))</formula>
    </cfRule>
    <cfRule type="cellIs" dxfId="65" priority="21" operator="equal">
      <formula>$A$36&lt;&gt;"Recht duurzame inzetbaarheid"</formula>
    </cfRule>
  </conditionalFormatting>
  <conditionalFormatting sqref="F37">
    <cfRule type="cellIs" dxfId="64" priority="13" operator="greaterThan">
      <formula>0</formula>
    </cfRule>
    <cfRule type="cellIs" dxfId="63" priority="16" operator="equal">
      <formula>$F$36&lt;&gt;"Lesuren"</formula>
    </cfRule>
  </conditionalFormatting>
  <conditionalFormatting sqref="G37">
    <cfRule type="cellIs" dxfId="62" priority="12" operator="greaterThan">
      <formula>0</formula>
    </cfRule>
    <cfRule type="cellIs" dxfId="61" priority="15" operator="equal">
      <formula>$G$36&lt;&gt;"v/n-werk"</formula>
    </cfRule>
  </conditionalFormatting>
  <conditionalFormatting sqref="H37">
    <cfRule type="cellIs" dxfId="60" priority="11" operator="greaterThan">
      <formula>0</formula>
    </cfRule>
    <cfRule type="cellIs" dxfId="59" priority="14" operator="equal">
      <formula>$H$36&lt;&gt;"Taakuren"</formula>
    </cfRule>
  </conditionalFormatting>
  <conditionalFormatting sqref="C52">
    <cfRule type="cellIs" dxfId="58" priority="10" operator="equal">
      <formula>$D$52&lt;&gt;"Niet toegestaan"</formula>
    </cfRule>
  </conditionalFormatting>
  <conditionalFormatting sqref="C53">
    <cfRule type="cellIs" dxfId="57" priority="9" operator="equal">
      <formula>$D$52&lt;&gt;"Niet toegestaan"</formula>
    </cfRule>
  </conditionalFormatting>
  <conditionalFormatting sqref="C54">
    <cfRule type="cellIs" dxfId="56" priority="8" operator="equal">
      <formula>$D$52&lt;&gt;"Niet toegestaan"</formula>
    </cfRule>
  </conditionalFormatting>
  <conditionalFormatting sqref="G33">
    <cfRule type="cellIs" dxfId="55" priority="22" operator="equal">
      <formula>$B$33&lt;&gt;"Ja"</formula>
    </cfRule>
    <cfRule type="cellIs" dxfId="54" priority="23" operator="between">
      <formula>1</formula>
      <formula>1300</formula>
    </cfRule>
  </conditionalFormatting>
  <conditionalFormatting sqref="G34">
    <cfRule type="cellIs" dxfId="53" priority="24" operator="equal">
      <formula>$B$34&lt;&gt;"Ja"</formula>
    </cfRule>
    <cfRule type="cellIs" dxfId="52" priority="25" operator="between">
      <formula>0.0001</formula>
      <formula>2</formula>
    </cfRule>
  </conditionalFormatting>
  <conditionalFormatting sqref="H25:H26">
    <cfRule type="containsText" dxfId="51" priority="26" operator="containsText" text="u">
      <formula>NOT(ISERROR(SEARCH("u",H25)))</formula>
    </cfRule>
    <cfRule type="cellIs" dxfId="50" priority="27" operator="equal">
      <formula>$E$33&lt;&gt;"Lesuren"</formula>
    </cfRule>
  </conditionalFormatting>
  <conditionalFormatting sqref="G39">
    <cfRule type="containsText" dxfId="49" priority="6" operator="containsText" text="Duurz. Inz.">
      <formula>NOT(ISERROR(SEARCH("Duurz. Inz.",G39)))</formula>
    </cfRule>
  </conditionalFormatting>
  <conditionalFormatting sqref="G38">
    <cfRule type="containsText" dxfId="48" priority="5" operator="containsText" text="Taakuren">
      <formula>NOT(ISERROR(SEARCH("Taakuren",G38)))</formula>
    </cfRule>
  </conditionalFormatting>
  <conditionalFormatting sqref="A37:H37">
    <cfRule type="cellIs" dxfId="47" priority="4" operator="equal">
      <formula>$D$37&lt;&gt;"Lesuren"</formula>
    </cfRule>
  </conditionalFormatting>
  <conditionalFormatting sqref="B36:H36">
    <cfRule type="cellIs" dxfId="46" priority="3" operator="equal">
      <formula>$D$37&lt;&gt;"Lesuren"</formula>
    </cfRule>
  </conditionalFormatting>
  <conditionalFormatting sqref="H24">
    <cfRule type="containsText" dxfId="45" priority="7" operator="containsText" text="u">
      <formula>NOT(ISERROR(SEARCH("u",#REF!)))</formula>
    </cfRule>
  </conditionalFormatting>
  <conditionalFormatting sqref="H99">
    <cfRule type="cellIs" dxfId="44" priority="2" operator="lessThan">
      <formula>0</formula>
    </cfRule>
  </conditionalFormatting>
  <conditionalFormatting sqref="F99">
    <cfRule type="cellIs" dxfId="43" priority="1" operator="lessThan">
      <formula>0</formula>
    </cfRule>
  </conditionalFormatting>
  <dataValidations count="8">
    <dataValidation allowBlank="1" showInputMessage="1" showErrorMessage="1" errorTitle="Ongeldige invoer" error="Het aantal ingevulde uren verlof overstijgt het totaal aantal uren voor- en nawerk. Kies voor een lager aantal uur verlof." sqref="G38" xr:uid="{00000000-0002-0000-0200-000000000000}"/>
    <dataValidation type="whole" allowBlank="1" showInputMessage="1" showErrorMessage="1" errorTitle="Foutieve invoer" error="Het aantal uur verlof past niet binnen uw budget" sqref="B37" xr:uid="{00000000-0002-0000-0200-000001000000}">
      <formula1>0</formula1>
      <formula2>IF(B36="Overgangsregeling 56+",ROUND(340*LEFT(H28,2)/40,0),IF(B36="Overgangsregeling 52+",ROUND(170*LEFT(H28,2)/40,0),IF(B36="Basis en bijzonder budget",ROUND(170*LEFT(H28,2)/40,0),"")))</formula2>
    </dataValidation>
    <dataValidation type="list" allowBlank="1" showInputMessage="1" showErrorMessage="1" sqref="B33:B34" xr:uid="{00000000-0002-0000-0200-000002000000}">
      <formula1>"Ja,Nee"</formula1>
    </dataValidation>
    <dataValidation type="whole" allowBlank="1" showInputMessage="1" showErrorMessage="1" errorTitle="Ongeldige invoer" error="Het ingevulde aantal uur verlof overstijgt het beschikbare aantal taakuren. Kies voor een lager aantal uren verlof." sqref="H37:H38" xr:uid="{00000000-0002-0000-0200-000003000000}">
      <formula1>0</formula1>
      <formula2>T59</formula2>
    </dataValidation>
    <dataValidation type="whole" allowBlank="1" showInputMessage="1" showErrorMessage="1" errorTitle="Ongeldige invoer" error="Het aantal ingevulde uren verlof overstijgt het totaal aantal uren voor- en nawerk. Kies voor een lager aantal uur verlof." sqref="G37" xr:uid="{00000000-0002-0000-0200-000004000000}">
      <formula1>0</formula1>
      <formula2>T58</formula2>
    </dataValidation>
    <dataValidation type="whole" allowBlank="1" showInputMessage="1" showErrorMessage="1" errorTitle="Ongeldige invoer" error="Het ingevulde aantal uur verlof overstijgt het totaal aantal lesuren. Kies voor een lager aantal uur verlof." sqref="F37:F38" xr:uid="{00000000-0002-0000-0200-000005000000}">
      <formula1>0</formula1>
      <formula2>T57</formula2>
    </dataValidation>
    <dataValidation type="whole" errorStyle="warning" operator="equal" allowBlank="1" showInputMessage="1" showErrorMessage="1" errorTitle="Let op:" error="Aantal uren wijkt af van het bepaalde schoolrooster" sqref="I18:I22" xr:uid="{00000000-0002-0000-0200-000006000000}">
      <formula1>E18</formula1>
    </dataValidation>
    <dataValidation type="list" allowBlank="1" showInputMessage="1" showErrorMessage="1" sqref="B36:C36" xr:uid="{00000000-0002-0000-0200-000007000000}">
      <formula1>$T$27:$T$29</formula1>
    </dataValidation>
  </dataValidation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6"/>
  <dimension ref="A1:Y88"/>
  <sheetViews>
    <sheetView zoomScaleNormal="100" workbookViewId="0">
      <selection activeCell="C25" sqref="C25:D25"/>
    </sheetView>
  </sheetViews>
  <sheetFormatPr defaultColWidth="0" defaultRowHeight="0" customHeight="1" zeroHeight="1" x14ac:dyDescent="0.25"/>
  <cols>
    <col min="1" max="1" width="12.1796875" style="12" customWidth="1"/>
    <col min="2" max="3" width="14.1796875" style="12" customWidth="1"/>
    <col min="4" max="4" width="13.81640625" style="12" customWidth="1"/>
    <col min="5" max="6" width="14.1796875" style="12" customWidth="1"/>
    <col min="7" max="7" width="14.453125" style="12" customWidth="1"/>
    <col min="8" max="8" width="2.81640625" style="9" customWidth="1"/>
    <col min="9" max="9" width="2" style="21" customWidth="1"/>
    <col min="10" max="14" width="13.81640625" style="11" customWidth="1"/>
    <col min="15" max="16" width="13.81640625" style="9" hidden="1"/>
    <col min="17" max="17" width="10.1796875" style="12" hidden="1"/>
    <col min="18" max="19" width="9.453125" style="12" hidden="1"/>
    <col min="20" max="20" width="10.1796875" style="12" hidden="1"/>
    <col min="21" max="21" width="9.453125" style="12" hidden="1"/>
    <col min="22" max="16384" width="9.1796875" style="12" hidden="1"/>
  </cols>
  <sheetData>
    <row r="1" spans="1:25" ht="12.5" x14ac:dyDescent="0.25">
      <c r="A1" s="100" t="s">
        <v>128</v>
      </c>
      <c r="B1" s="9"/>
      <c r="C1" s="9"/>
      <c r="D1" s="9"/>
      <c r="E1" s="9"/>
      <c r="F1" s="9"/>
      <c r="G1" s="9"/>
      <c r="Q1" s="45">
        <f ca="1">NOW()</f>
        <v>44963.647220023151</v>
      </c>
      <c r="X1" s="12">
        <v>18</v>
      </c>
      <c r="Y1" s="12">
        <v>24</v>
      </c>
    </row>
    <row r="2" spans="1:25" ht="17.5" x14ac:dyDescent="0.35">
      <c r="A2" s="125" t="s">
        <v>91</v>
      </c>
      <c r="B2" s="9"/>
      <c r="C2" s="9"/>
      <c r="D2" s="184"/>
      <c r="E2" s="185"/>
      <c r="F2" s="9"/>
      <c r="G2" s="9"/>
      <c r="J2" s="21"/>
      <c r="K2" s="21"/>
      <c r="L2" s="21"/>
      <c r="M2" s="21"/>
      <c r="N2" s="21"/>
      <c r="T2" s="26"/>
      <c r="X2" s="12">
        <v>19</v>
      </c>
      <c r="Y2" s="12">
        <v>16</v>
      </c>
    </row>
    <row r="3" spans="1:25" ht="12.5" x14ac:dyDescent="0.25">
      <c r="A3" s="9"/>
      <c r="B3" s="9"/>
      <c r="C3" s="9"/>
      <c r="D3" s="9"/>
      <c r="E3" s="9"/>
      <c r="F3" s="9"/>
      <c r="G3" s="9"/>
      <c r="J3" s="21"/>
      <c r="K3" s="21"/>
      <c r="L3" s="21"/>
      <c r="M3" s="21"/>
      <c r="N3" s="21"/>
      <c r="X3" s="12">
        <v>20</v>
      </c>
      <c r="Y3" s="12">
        <v>8</v>
      </c>
    </row>
    <row r="4" spans="1:25" ht="12.5" x14ac:dyDescent="0.25">
      <c r="A4" s="27" t="s">
        <v>1</v>
      </c>
      <c r="B4" s="9"/>
      <c r="C4" s="9"/>
      <c r="D4" s="9"/>
      <c r="E4" s="27" t="s">
        <v>2</v>
      </c>
      <c r="F4" s="9"/>
      <c r="G4" s="9"/>
      <c r="J4" s="21"/>
      <c r="K4" s="21"/>
      <c r="L4" s="21"/>
      <c r="M4" s="21"/>
      <c r="N4" s="21"/>
      <c r="X4" s="12">
        <v>21</v>
      </c>
      <c r="Y4" s="56">
        <v>0</v>
      </c>
    </row>
    <row r="5" spans="1:25" ht="12.5" x14ac:dyDescent="0.25">
      <c r="A5" s="9" t="s">
        <v>3</v>
      </c>
      <c r="B5" s="186"/>
      <c r="C5" s="186"/>
      <c r="D5" s="186"/>
      <c r="E5" s="9" t="s">
        <v>4</v>
      </c>
      <c r="F5" s="186"/>
      <c r="G5" s="186"/>
      <c r="J5" s="21"/>
      <c r="K5" s="21"/>
      <c r="L5" s="21"/>
      <c r="M5" s="21"/>
      <c r="N5" s="21"/>
      <c r="X5" s="12">
        <v>22</v>
      </c>
      <c r="Y5" s="56">
        <v>0</v>
      </c>
    </row>
    <row r="6" spans="1:25" ht="12.5" x14ac:dyDescent="0.25">
      <c r="A6" s="9" t="s">
        <v>5</v>
      </c>
      <c r="B6" s="186"/>
      <c r="C6" s="186"/>
      <c r="D6" s="186"/>
      <c r="E6" s="9" t="s">
        <v>6</v>
      </c>
      <c r="F6" s="186"/>
      <c r="G6" s="186"/>
      <c r="J6" s="21"/>
      <c r="K6" s="21"/>
      <c r="L6" s="21"/>
      <c r="M6" s="21"/>
      <c r="N6" s="21"/>
      <c r="X6" s="12">
        <v>23</v>
      </c>
      <c r="Y6" s="56">
        <v>0</v>
      </c>
    </row>
    <row r="7" spans="1:25" ht="12.5" x14ac:dyDescent="0.25">
      <c r="A7" s="9" t="s">
        <v>7</v>
      </c>
      <c r="B7" s="187"/>
      <c r="C7" s="186"/>
      <c r="D7" s="186"/>
      <c r="E7" s="9"/>
      <c r="F7" s="9"/>
      <c r="G7" s="9"/>
      <c r="J7" s="21"/>
      <c r="K7" s="21"/>
      <c r="L7" s="21"/>
      <c r="M7" s="21"/>
      <c r="N7" s="21"/>
      <c r="X7" s="12">
        <v>24</v>
      </c>
      <c r="Y7" s="56">
        <v>0</v>
      </c>
    </row>
    <row r="8" spans="1:25" ht="12.5" x14ac:dyDescent="0.25">
      <c r="A8" s="9" t="s">
        <v>74</v>
      </c>
      <c r="B8" s="212"/>
      <c r="C8" s="212"/>
      <c r="D8" s="212"/>
      <c r="E8" s="212"/>
      <c r="F8" s="212"/>
      <c r="G8" s="212"/>
      <c r="H8" s="212"/>
      <c r="J8" s="21"/>
      <c r="K8" s="21"/>
      <c r="L8" s="21"/>
      <c r="M8" s="21"/>
      <c r="N8" s="21"/>
      <c r="X8" s="12">
        <v>25</v>
      </c>
      <c r="Y8" s="56">
        <v>0</v>
      </c>
    </row>
    <row r="9" spans="1:25" ht="13" thickBot="1" x14ac:dyDescent="0.3">
      <c r="A9" s="30"/>
      <c r="B9" s="30"/>
      <c r="C9" s="30"/>
      <c r="D9" s="30"/>
      <c r="E9" s="30"/>
      <c r="F9" s="30"/>
      <c r="G9" s="30"/>
      <c r="H9" s="30"/>
      <c r="I9" s="31"/>
      <c r="J9" s="83" t="s">
        <v>10</v>
      </c>
      <c r="K9" s="31"/>
      <c r="L9" s="31"/>
      <c r="M9" s="31"/>
      <c r="N9" s="31"/>
      <c r="X9" s="12">
        <v>26</v>
      </c>
      <c r="Y9" s="56">
        <v>0</v>
      </c>
    </row>
    <row r="10" spans="1:25" ht="12.75" customHeight="1" x14ac:dyDescent="0.25">
      <c r="A10" s="9"/>
      <c r="B10" s="9"/>
      <c r="C10" s="9"/>
      <c r="D10" s="9"/>
      <c r="E10" s="9"/>
      <c r="F10" s="9"/>
      <c r="G10" s="9"/>
      <c r="J10" s="188" t="s">
        <v>92</v>
      </c>
      <c r="K10" s="188"/>
      <c r="L10" s="188"/>
      <c r="M10" s="188"/>
      <c r="N10" s="188"/>
      <c r="O10" s="32"/>
      <c r="P10" s="32"/>
      <c r="X10" s="12">
        <v>27</v>
      </c>
      <c r="Y10" s="56">
        <v>0</v>
      </c>
    </row>
    <row r="11" spans="1:25" ht="12.5" x14ac:dyDescent="0.25">
      <c r="A11" s="33"/>
      <c r="B11" s="190" t="s">
        <v>93</v>
      </c>
      <c r="C11" s="190"/>
      <c r="E11" s="190" t="s">
        <v>94</v>
      </c>
      <c r="F11" s="190"/>
      <c r="G11" s="190"/>
      <c r="J11" s="189"/>
      <c r="K11" s="189"/>
      <c r="L11" s="189"/>
      <c r="M11" s="189"/>
      <c r="N11" s="189"/>
      <c r="O11" s="32"/>
      <c r="P11" s="32"/>
      <c r="X11" s="12">
        <v>28</v>
      </c>
      <c r="Y11" s="56">
        <v>0</v>
      </c>
    </row>
    <row r="12" spans="1:25" ht="12.75" customHeight="1" x14ac:dyDescent="0.25">
      <c r="A12" s="34"/>
      <c r="B12" s="35" t="s">
        <v>13</v>
      </c>
      <c r="C12" s="35" t="s">
        <v>14</v>
      </c>
      <c r="D12" s="9"/>
      <c r="E12" s="35" t="s">
        <v>95</v>
      </c>
      <c r="F12" s="35" t="s">
        <v>96</v>
      </c>
      <c r="G12" s="35" t="s">
        <v>21</v>
      </c>
      <c r="H12" s="35"/>
      <c r="I12" s="37"/>
      <c r="J12" s="189"/>
      <c r="K12" s="189"/>
      <c r="L12" s="189"/>
      <c r="M12" s="189"/>
      <c r="N12" s="189"/>
      <c r="O12" s="32"/>
      <c r="P12" s="32"/>
      <c r="X12" s="12">
        <v>29</v>
      </c>
      <c r="Y12" s="56">
        <v>0</v>
      </c>
    </row>
    <row r="13" spans="1:25" ht="12.75" customHeight="1" x14ac:dyDescent="0.25">
      <c r="A13" s="9" t="s">
        <v>15</v>
      </c>
      <c r="B13" s="1"/>
      <c r="C13" s="2"/>
      <c r="D13" s="9"/>
      <c r="E13" s="1"/>
      <c r="F13" s="2"/>
      <c r="G13" s="22">
        <f>E13*F13</f>
        <v>0</v>
      </c>
      <c r="H13" s="38"/>
      <c r="I13" s="39"/>
      <c r="J13" s="189"/>
      <c r="K13" s="189"/>
      <c r="L13" s="189"/>
      <c r="M13" s="189"/>
      <c r="N13" s="189"/>
      <c r="O13" s="32"/>
      <c r="P13" s="32"/>
      <c r="X13" s="12">
        <v>30</v>
      </c>
      <c r="Y13" s="56">
        <v>8</v>
      </c>
    </row>
    <row r="14" spans="1:25" ht="12.5" x14ac:dyDescent="0.25">
      <c r="A14" s="9" t="s">
        <v>16</v>
      </c>
      <c r="B14" s="1"/>
      <c r="C14" s="2"/>
      <c r="D14" s="9"/>
      <c r="E14" s="1"/>
      <c r="F14" s="2"/>
      <c r="G14" s="22">
        <f t="shared" ref="G14:G17" si="0">E14*F14</f>
        <v>0</v>
      </c>
      <c r="H14" s="38"/>
      <c r="I14" s="39"/>
      <c r="J14" s="189"/>
      <c r="K14" s="189"/>
      <c r="L14" s="189"/>
      <c r="M14" s="189"/>
      <c r="N14" s="189"/>
      <c r="O14" s="32"/>
      <c r="P14" s="32"/>
      <c r="X14" s="12">
        <v>31</v>
      </c>
      <c r="Y14" s="56">
        <v>8</v>
      </c>
    </row>
    <row r="15" spans="1:25" ht="12.75" customHeight="1" x14ac:dyDescent="0.25">
      <c r="A15" s="9" t="s">
        <v>17</v>
      </c>
      <c r="B15" s="1"/>
      <c r="C15" s="2"/>
      <c r="D15" s="9"/>
      <c r="E15" s="1"/>
      <c r="F15" s="2"/>
      <c r="G15" s="22">
        <f t="shared" si="0"/>
        <v>0</v>
      </c>
      <c r="H15" s="38"/>
      <c r="I15" s="39"/>
      <c r="J15" s="189"/>
      <c r="K15" s="189"/>
      <c r="L15" s="189"/>
      <c r="M15" s="189"/>
      <c r="N15" s="189"/>
      <c r="O15" s="32"/>
      <c r="P15" s="32"/>
      <c r="X15" s="12">
        <v>32</v>
      </c>
      <c r="Y15" s="56">
        <v>8</v>
      </c>
    </row>
    <row r="16" spans="1:25" ht="12.75" customHeight="1" x14ac:dyDescent="0.25">
      <c r="A16" s="9" t="s">
        <v>19</v>
      </c>
      <c r="B16" s="1"/>
      <c r="C16" s="2"/>
      <c r="D16" s="9"/>
      <c r="E16" s="1"/>
      <c r="F16" s="2"/>
      <c r="G16" s="22">
        <f t="shared" si="0"/>
        <v>0</v>
      </c>
      <c r="H16" s="38"/>
      <c r="I16" s="39"/>
      <c r="J16" s="189" t="s">
        <v>97</v>
      </c>
      <c r="K16" s="189"/>
      <c r="L16" s="189"/>
      <c r="M16" s="189"/>
      <c r="N16" s="189"/>
      <c r="O16" s="32"/>
      <c r="P16" s="32"/>
      <c r="R16" s="131" t="s">
        <v>98</v>
      </c>
      <c r="S16" s="12">
        <f ca="1">YEAR(Q1)-YEAR(C26)</f>
        <v>123</v>
      </c>
      <c r="X16" s="12">
        <v>33</v>
      </c>
      <c r="Y16" s="56">
        <v>8</v>
      </c>
    </row>
    <row r="17" spans="1:25" ht="12.75" customHeight="1" x14ac:dyDescent="0.25">
      <c r="A17" s="9" t="s">
        <v>20</v>
      </c>
      <c r="B17" s="1"/>
      <c r="C17" s="2"/>
      <c r="D17" s="9"/>
      <c r="E17" s="1"/>
      <c r="F17" s="2"/>
      <c r="G17" s="22">
        <f t="shared" si="0"/>
        <v>0</v>
      </c>
      <c r="H17" s="38"/>
      <c r="I17" s="39"/>
      <c r="J17" s="189"/>
      <c r="K17" s="189"/>
      <c r="L17" s="189"/>
      <c r="M17" s="189"/>
      <c r="N17" s="189"/>
      <c r="O17" s="32"/>
      <c r="P17" s="32"/>
      <c r="X17" s="12">
        <v>34</v>
      </c>
      <c r="Y17" s="56">
        <v>8</v>
      </c>
    </row>
    <row r="18" spans="1:25" ht="12.5" x14ac:dyDescent="0.25">
      <c r="A18" s="13" t="s">
        <v>21</v>
      </c>
      <c r="B18" s="40">
        <f>SUM(B13:B17)</f>
        <v>0</v>
      </c>
      <c r="C18" s="40">
        <f>SUM(C13:C17)</f>
        <v>0</v>
      </c>
      <c r="D18" s="9"/>
      <c r="E18" s="40">
        <f>SUM(E13:E17)</f>
        <v>0</v>
      </c>
      <c r="F18" s="40">
        <f>SUM(F13:F17)</f>
        <v>0</v>
      </c>
      <c r="G18" s="40">
        <f>SUM(G13:G17)</f>
        <v>0</v>
      </c>
      <c r="H18" s="41"/>
      <c r="I18" s="42"/>
      <c r="J18" s="189"/>
      <c r="K18" s="189"/>
      <c r="L18" s="189"/>
      <c r="M18" s="189"/>
      <c r="N18" s="189"/>
      <c r="O18" s="32"/>
      <c r="P18" s="32"/>
      <c r="R18" s="166">
        <f ca="1">YEAR(NOW())-YEAR(C26)</f>
        <v>123</v>
      </c>
      <c r="S18">
        <f ca="1">YEAR(NOW())</f>
        <v>2023</v>
      </c>
      <c r="X18" s="12">
        <v>35</v>
      </c>
      <c r="Y18" s="56">
        <v>8</v>
      </c>
    </row>
    <row r="19" spans="1:25" ht="13" thickBot="1" x14ac:dyDescent="0.3">
      <c r="A19" s="13"/>
      <c r="B19" s="13"/>
      <c r="C19" s="13"/>
      <c r="D19" s="9"/>
      <c r="E19" s="9"/>
      <c r="F19" s="9"/>
      <c r="G19" s="13"/>
      <c r="H19" s="13"/>
      <c r="I19" s="43"/>
      <c r="J19" s="189"/>
      <c r="K19" s="189"/>
      <c r="L19" s="189"/>
      <c r="M19" s="189"/>
      <c r="N19" s="189"/>
      <c r="O19" s="32"/>
      <c r="R19" s="45">
        <v>21459</v>
      </c>
      <c r="S19" s="160">
        <f ca="1">DATE((S18-57),MONTH(C26),DAY(C26))</f>
        <v>24107</v>
      </c>
      <c r="X19" s="12">
        <v>36</v>
      </c>
      <c r="Y19" s="56">
        <v>8</v>
      </c>
    </row>
    <row r="20" spans="1:25" ht="13.5" customHeight="1" x14ac:dyDescent="0.25">
      <c r="A20" s="34"/>
      <c r="B20" s="181" t="s">
        <v>25</v>
      </c>
      <c r="C20" s="181"/>
      <c r="D20" s="207" t="str">
        <f>IFERROR(ROUND((C18+G18/41.475),0)&amp;" uur",0)</f>
        <v>0 uur</v>
      </c>
      <c r="E20" s="192" t="str">
        <f>IF(C28&gt;0,"Werktijdfactor exclusief verlof duurzame inzetbaarheid:",IF(G25&gt;0,"Werktijdfactor exclusief ouderschapsverlof:",""))</f>
        <v/>
      </c>
      <c r="F20" s="192"/>
      <c r="G20" s="191" t="str">
        <f>IF(C28&gt;0,FLOOR((LEFT(D20,2)/40-(G35/1659))*40,1)&amp;" uur"&amp;IF((ROUND(((LEFT(D20,2)/40-(G35/1659))*40-FLOOR((LEFT(D20,2)/40-(G35/1659))*40,1))*60,0))=0,""," en "&amp;ROUND(((LEFT(D20,2)/40-(G35/1659))*40-FLOOR((LEFT(D20,2)/40-(G35/1659))*40,1))*60,0)&amp;" minuten"),IF(G25&gt;0,FLOOR((LEFT(D20,2)/40-(G35/1659))*40,1)&amp;" uur"&amp;IF((ROUND(((LEFT(D20,2)/40-(G35/1659))*40-FLOOR((LEFT(D20,2)/40-(G35/1659))*40,1))*60,0))=0,""," en "&amp;ROUND(((LEFT(D20,2)/40-(G35/1659))*40-FLOOR((LEFT(D20,2)/40-(G35/1659))*40,1))*60,0)&amp;" minuten"),""))</f>
        <v/>
      </c>
      <c r="H20" s="13"/>
      <c r="I20" s="43"/>
      <c r="J20" s="189"/>
      <c r="K20" s="189"/>
      <c r="L20" s="189"/>
      <c r="M20" s="189"/>
      <c r="N20" s="189"/>
      <c r="O20" s="32"/>
      <c r="R20" s="45"/>
      <c r="S20" s="12" t="str">
        <f>IF(C26="","",IF(C26&lt;=R19,"Overgangsregeling 56+",IF(C26&lt;=S19,"Basis en bijzonder budget","")))</f>
        <v/>
      </c>
      <c r="X20" s="12">
        <v>37</v>
      </c>
      <c r="Y20" s="56">
        <v>8</v>
      </c>
    </row>
    <row r="21" spans="1:25" ht="12.75" customHeight="1" thickBot="1" x14ac:dyDescent="0.3">
      <c r="A21" s="29"/>
      <c r="B21" s="181"/>
      <c r="C21" s="181"/>
      <c r="D21" s="208"/>
      <c r="E21" s="192"/>
      <c r="F21" s="192"/>
      <c r="G21" s="191"/>
      <c r="H21" s="46"/>
      <c r="I21" s="47"/>
      <c r="J21" s="189"/>
      <c r="K21" s="189"/>
      <c r="L21" s="189"/>
      <c r="M21" s="189"/>
      <c r="N21" s="189"/>
      <c r="O21" s="32"/>
      <c r="P21" s="32"/>
      <c r="S21" s="12" t="str">
        <f>IF(C26="","",IF(C26&lt;=R19,"Basis en bijzonder budget",IF(C26&lt;=S19,"Enkel basis budget","")))</f>
        <v/>
      </c>
      <c r="X21" s="12">
        <v>38</v>
      </c>
      <c r="Y21" s="56">
        <v>8</v>
      </c>
    </row>
    <row r="22" spans="1:25" ht="13" thickBot="1" x14ac:dyDescent="0.3">
      <c r="A22" s="49"/>
      <c r="B22" s="121" t="s">
        <v>27</v>
      </c>
      <c r="C22" s="122"/>
      <c r="D22" s="123">
        <f>IF(D20=0,"",LEFT(D20,2)/40)</f>
        <v>0</v>
      </c>
      <c r="E22" s="49"/>
      <c r="F22" s="49"/>
      <c r="G22" s="49"/>
      <c r="H22" s="49"/>
      <c r="I22" s="51"/>
      <c r="J22" s="52"/>
      <c r="K22" s="52"/>
      <c r="L22" s="52"/>
      <c r="M22" s="52"/>
      <c r="N22" s="52"/>
      <c r="O22" s="32"/>
      <c r="P22" s="32"/>
      <c r="S22" s="12" t="str">
        <f>IF(C26="","",IF(C26&lt;=R19,"Enkel basis budget",""))</f>
        <v/>
      </c>
      <c r="X22" s="12">
        <v>39</v>
      </c>
      <c r="Y22" s="56">
        <v>8</v>
      </c>
    </row>
    <row r="23" spans="1:25" s="11" customFormat="1" ht="12.5" x14ac:dyDescent="0.25">
      <c r="A23" s="13" t="s">
        <v>28</v>
      </c>
      <c r="B23" s="13"/>
      <c r="C23" s="13"/>
      <c r="D23" s="9"/>
      <c r="E23" s="13"/>
      <c r="F23" s="13"/>
      <c r="G23" s="13"/>
      <c r="H23" s="13"/>
      <c r="I23" s="43"/>
      <c r="J23" s="13"/>
      <c r="K23" s="13"/>
      <c r="L23" s="13"/>
      <c r="M23" s="13"/>
      <c r="N23" s="13"/>
      <c r="O23" s="53"/>
      <c r="P23" s="53"/>
      <c r="X23" s="12">
        <v>40</v>
      </c>
      <c r="Y23" s="11">
        <v>16</v>
      </c>
    </row>
    <row r="24" spans="1:25" ht="12.75" customHeight="1" x14ac:dyDescent="0.25">
      <c r="A24" s="12" t="s">
        <v>99</v>
      </c>
      <c r="B24" s="13"/>
      <c r="C24" s="13"/>
      <c r="D24" s="148"/>
      <c r="E24" s="130"/>
      <c r="F24" s="13"/>
      <c r="G24" s="13"/>
      <c r="H24" s="13"/>
      <c r="I24" s="43"/>
      <c r="J24" s="196" t="s">
        <v>100</v>
      </c>
      <c r="K24" s="196"/>
      <c r="L24" s="196"/>
      <c r="M24" s="196"/>
      <c r="N24" s="196"/>
      <c r="R24" s="55">
        <f>ROUND(LEFT(D20,2)/40*40,0)</f>
        <v>0</v>
      </c>
      <c r="X24" s="12">
        <v>41</v>
      </c>
      <c r="Y24" s="56">
        <v>16</v>
      </c>
    </row>
    <row r="25" spans="1:25" ht="12.5" x14ac:dyDescent="0.25">
      <c r="A25" s="29" t="s">
        <v>33</v>
      </c>
      <c r="B25" s="13"/>
      <c r="C25" s="174"/>
      <c r="D25" s="175"/>
      <c r="E25" s="117" t="str">
        <f>IF(C25="Ja","Werktijdfactor verlof","")</f>
        <v/>
      </c>
      <c r="G25" s="5"/>
      <c r="H25" s="54"/>
      <c r="I25" s="43"/>
      <c r="J25" s="196"/>
      <c r="K25" s="196"/>
      <c r="L25" s="196"/>
      <c r="M25" s="196"/>
      <c r="N25" s="196"/>
      <c r="O25" s="146"/>
      <c r="Q25" s="9"/>
      <c r="X25" s="12">
        <v>42</v>
      </c>
      <c r="Y25" s="56">
        <v>16</v>
      </c>
    </row>
    <row r="26" spans="1:25" ht="12.5" x14ac:dyDescent="0.25">
      <c r="A26" s="29" t="s">
        <v>34</v>
      </c>
      <c r="B26" s="13"/>
      <c r="C26" s="210"/>
      <c r="D26" s="211"/>
      <c r="E26" s="177" t="str">
        <f>IF(G25&gt;0,"Verdeling uren ouderschapsverlof","")</f>
        <v/>
      </c>
      <c r="F26" s="177"/>
      <c r="G26" s="177"/>
      <c r="H26" s="13"/>
      <c r="I26" s="43"/>
      <c r="J26" s="196" t="s">
        <v>35</v>
      </c>
      <c r="K26" s="196"/>
      <c r="L26" s="196"/>
      <c r="M26" s="196"/>
      <c r="N26" s="196"/>
      <c r="O26" s="13"/>
      <c r="P26" s="13"/>
      <c r="Q26" s="55">
        <f>2014-1958</f>
        <v>56</v>
      </c>
      <c r="R26" s="56" t="s">
        <v>36</v>
      </c>
      <c r="W26" s="13"/>
      <c r="X26" s="12">
        <v>43</v>
      </c>
      <c r="Y26" s="56">
        <v>16</v>
      </c>
    </row>
    <row r="27" spans="1:25" ht="12.5" x14ac:dyDescent="0.25">
      <c r="A27" s="9" t="str">
        <f>IF(C26="","",IF($C$26&lt;$R$19,"Recht duurzame inzetbaarheid",IF($C$26&lt;=$S$19,"Recht duurzame inzetbaarheid","")))</f>
        <v/>
      </c>
      <c r="B27" s="13"/>
      <c r="C27" s="179"/>
      <c r="D27" s="179"/>
      <c r="E27" s="35" t="str">
        <f>IF(G25&gt;0,"Profess.","")</f>
        <v/>
      </c>
      <c r="F27" s="35" t="str">
        <f>IF(G25&gt;0,"Duurz. inz.","")</f>
        <v/>
      </c>
      <c r="G27" s="35" t="str">
        <f>IF(G25&gt;0,"Taakuren","")</f>
        <v/>
      </c>
      <c r="H27" s="57"/>
      <c r="I27" s="58"/>
      <c r="J27" s="196"/>
      <c r="K27" s="196"/>
      <c r="L27" s="196"/>
      <c r="M27" s="196"/>
      <c r="N27" s="196"/>
      <c r="O27" s="13"/>
      <c r="P27" s="13"/>
      <c r="R27" s="56" t="s">
        <v>37</v>
      </c>
      <c r="T27" s="105">
        <f>G25*1659</f>
        <v>0</v>
      </c>
      <c r="U27" s="105"/>
      <c r="X27" s="12">
        <v>44</v>
      </c>
      <c r="Y27" s="56">
        <v>16</v>
      </c>
    </row>
    <row r="28" spans="1:25" ht="13" thickBot="1" x14ac:dyDescent="0.3">
      <c r="A28" s="63" t="str">
        <f>IF(C27="","",IF(C27="Overgangsregeling 52+","Aantal uur verlof",IF(C27="Overgangsregeling 56+","Aantal uur verlof",IF(C27="Basis en bijzonder budget","Aantal uur verlof",""))))</f>
        <v/>
      </c>
      <c r="B28" s="62"/>
      <c r="C28" s="116"/>
      <c r="D28" s="97" t="str">
        <f>IF(C27="Overgangsregeling 56+","Tussen "&amp;ROUND(170*LEFT(D20,2)/40,0)&amp;" en "&amp;ROUND(340*LEFT(D20,2)/40,0),IF(C27="Overgangsregeling 52+","Tussen 0 en "&amp;ROUND(170*LEFT(D20,2)/40,0),IF(C27="Basis en bijzonder budget","Tussen 0 en "&amp;ROUND(170*LEFT(D20,2)/40,0),"")))</f>
        <v/>
      </c>
      <c r="E28" s="118" t="str">
        <f>IF(G25&gt;0,ROUND(T29*T27,0),"")</f>
        <v/>
      </c>
      <c r="F28" s="118" t="str">
        <f>IF(G25&gt;0,ROUND(T30*T27,0),"")</f>
        <v/>
      </c>
      <c r="G28" s="118" t="str">
        <f>IF(G25&gt;0,ROUND(T31*T27,0),"")</f>
        <v/>
      </c>
      <c r="H28" s="97"/>
      <c r="I28" s="58"/>
      <c r="J28" s="150"/>
      <c r="K28" s="150"/>
      <c r="L28" s="150"/>
      <c r="M28" s="150"/>
      <c r="N28" s="150"/>
      <c r="O28" s="13"/>
      <c r="P28" s="13"/>
      <c r="R28" s="104"/>
      <c r="S28" s="105"/>
      <c r="T28" s="106">
        <f>R28/SUM($S$32:$S$36)</f>
        <v>0</v>
      </c>
      <c r="U28" s="105">
        <f>T28*$T$27</f>
        <v>0</v>
      </c>
      <c r="X28" s="12">
        <v>45</v>
      </c>
      <c r="Y28" s="56">
        <v>24</v>
      </c>
    </row>
    <row r="29" spans="1:25" ht="12.5" x14ac:dyDescent="0.25">
      <c r="A29" s="13"/>
      <c r="B29" s="13"/>
      <c r="C29" s="13"/>
      <c r="D29" s="9"/>
      <c r="E29" s="13"/>
      <c r="F29" s="13"/>
      <c r="G29" s="18"/>
      <c r="H29" s="18"/>
      <c r="I29" s="64"/>
      <c r="J29" s="43"/>
      <c r="K29" s="43"/>
      <c r="L29" s="43"/>
      <c r="M29" s="43"/>
      <c r="N29" s="64"/>
      <c r="R29" s="104">
        <f>ROUND(LEFT(D20,2)/40*2*41.475,0)</f>
        <v>0</v>
      </c>
      <c r="S29" s="105"/>
      <c r="T29" s="106" t="e">
        <f>R29/SUM($R$29:$R$31)</f>
        <v>#DIV/0!</v>
      </c>
      <c r="U29" s="105">
        <f>IFERROR(T29*$T$27,0)</f>
        <v>0</v>
      </c>
      <c r="X29" s="12">
        <v>46</v>
      </c>
      <c r="Y29" s="56">
        <v>24</v>
      </c>
    </row>
    <row r="30" spans="1:25" ht="12.5" x14ac:dyDescent="0.25">
      <c r="A30" s="18" t="s">
        <v>44</v>
      </c>
      <c r="B30" s="13"/>
      <c r="C30" s="13"/>
      <c r="D30" s="9"/>
      <c r="E30" s="13"/>
      <c r="F30" s="13"/>
      <c r="G30" s="18"/>
      <c r="H30" s="18"/>
      <c r="I30" s="64"/>
      <c r="J30" s="21"/>
      <c r="K30" s="21"/>
      <c r="L30" s="21"/>
      <c r="M30" s="21"/>
      <c r="N30" s="21"/>
      <c r="R30" s="104">
        <f>ROUND(IF(A27="",ROUND(LEFT(D20,2)/40*40,0),ROUND(VLOOKUP(C27,$R$32:$S$36,2,FALSE)*LEFT(D20,2)/40,0))-C28,0)</f>
        <v>0</v>
      </c>
      <c r="S30" s="105"/>
      <c r="T30" s="106" t="e">
        <f t="shared" ref="T30" si="1">R30/SUM($R$29:$R$31)</f>
        <v>#DIV/0!</v>
      </c>
      <c r="U30" s="105">
        <f t="shared" ref="U30" si="2">IFERROR(T30*$T$27,0)</f>
        <v>0</v>
      </c>
      <c r="X30" s="12">
        <v>47</v>
      </c>
      <c r="Y30" s="56">
        <v>24</v>
      </c>
    </row>
    <row r="31" spans="1:25" ht="12.5" x14ac:dyDescent="0.25">
      <c r="A31" s="18"/>
      <c r="B31" s="13"/>
      <c r="C31" s="13"/>
      <c r="D31" s="9"/>
      <c r="E31" s="13"/>
      <c r="F31" s="18"/>
      <c r="G31" s="18"/>
      <c r="H31" s="18"/>
      <c r="I31" s="64"/>
      <c r="J31" s="21"/>
      <c r="K31" s="21"/>
      <c r="L31" s="21"/>
      <c r="M31" s="21"/>
      <c r="N31" s="21"/>
      <c r="R31" s="105">
        <f>IFERROR(ROUND(R41,0),0)</f>
        <v>0</v>
      </c>
      <c r="S31" s="105"/>
      <c r="T31" s="106" t="e">
        <f>R31/SUM($R$29:$R$31)</f>
        <v>#DIV/0!</v>
      </c>
      <c r="U31" s="105">
        <f>IFERROR(T31*$T$27,0)</f>
        <v>0</v>
      </c>
      <c r="X31" s="12">
        <v>48</v>
      </c>
      <c r="Y31" s="56">
        <v>24</v>
      </c>
    </row>
    <row r="32" spans="1:25" ht="12.5" x14ac:dyDescent="0.25">
      <c r="A32" s="33" t="s">
        <v>101</v>
      </c>
      <c r="C32" s="74"/>
      <c r="D32" s="16"/>
      <c r="E32" s="65" t="s">
        <v>102</v>
      </c>
      <c r="F32" s="13"/>
      <c r="G32" s="18"/>
      <c r="H32" s="18"/>
      <c r="I32" s="64"/>
      <c r="J32" s="21"/>
      <c r="K32" s="21"/>
      <c r="L32" s="21"/>
      <c r="M32" s="21"/>
      <c r="N32" s="21"/>
      <c r="R32" s="12" t="s">
        <v>47</v>
      </c>
      <c r="S32" s="12">
        <v>170</v>
      </c>
      <c r="U32" s="105"/>
      <c r="X32" s="12">
        <v>49</v>
      </c>
      <c r="Y32" s="56">
        <v>24</v>
      </c>
    </row>
    <row r="33" spans="1:25" ht="12.5" x14ac:dyDescent="0.25">
      <c r="A33" s="7" t="s">
        <v>59</v>
      </c>
      <c r="B33" s="9"/>
      <c r="C33" s="15"/>
      <c r="D33" s="9"/>
      <c r="E33" s="66" t="s">
        <v>49</v>
      </c>
      <c r="F33" s="18"/>
      <c r="G33" s="69">
        <f>ROUND(LEFT(D20,2)/40*2*41.475-U29,0)</f>
        <v>0</v>
      </c>
      <c r="H33" s="69"/>
      <c r="I33" s="70"/>
      <c r="J33" s="21"/>
      <c r="K33" s="21"/>
      <c r="L33" s="21"/>
      <c r="M33" s="21"/>
      <c r="N33" s="21"/>
      <c r="R33" s="12" t="s">
        <v>50</v>
      </c>
      <c r="S33" s="12">
        <v>340</v>
      </c>
      <c r="X33" s="12">
        <v>50</v>
      </c>
      <c r="Y33" s="56">
        <v>32</v>
      </c>
    </row>
    <row r="34" spans="1:25" ht="12.5" x14ac:dyDescent="0.25">
      <c r="A34" s="24" t="s">
        <v>60</v>
      </c>
      <c r="B34" s="9"/>
      <c r="C34" s="15"/>
      <c r="D34" s="16"/>
      <c r="E34" s="66" t="s">
        <v>52</v>
      </c>
      <c r="F34" s="18"/>
      <c r="G34" s="69">
        <f>ROUND(IF(AND(A28="",G25=""),ROUND(LEFT(D20,2)/40*40,0),IF(G25&gt;0,ROUND(LEFT(D20,2)/40*40,0)-F28,ROUND(VLOOKUP(C27,$R$32:$S$36,2,FALSE)*LEFT(D20,2)/40,0))-C28),0)</f>
        <v>0</v>
      </c>
      <c r="H34" s="69"/>
      <c r="I34" s="70"/>
      <c r="J34" s="71"/>
      <c r="K34" s="71"/>
      <c r="L34" s="71"/>
      <c r="M34" s="71"/>
      <c r="N34" s="71"/>
      <c r="O34" s="72"/>
      <c r="P34" s="72"/>
      <c r="R34" s="12" t="s">
        <v>53</v>
      </c>
      <c r="S34" s="12">
        <v>170</v>
      </c>
      <c r="X34" s="12">
        <v>51</v>
      </c>
      <c r="Y34" s="56">
        <v>32</v>
      </c>
    </row>
    <row r="35" spans="1:25" ht="12.5" x14ac:dyDescent="0.25">
      <c r="A35" s="24" t="s">
        <v>61</v>
      </c>
      <c r="B35" s="9"/>
      <c r="C35" s="15"/>
      <c r="D35" s="16"/>
      <c r="E35" s="9" t="str">
        <f>IF(C28&gt;0,"Verlof duurzame inzetbaarheid",IF(G25&gt;0,"Ouderschapsverlof",""))</f>
        <v/>
      </c>
      <c r="F35" s="9"/>
      <c r="G35" s="69" t="str">
        <f>IF(E35="","",IF(C28&gt;0,C28,IF(G25&gt;0,T27,"")))</f>
        <v/>
      </c>
      <c r="I35" s="73"/>
      <c r="J35" s="71"/>
      <c r="K35" s="71"/>
      <c r="L35" s="71"/>
      <c r="M35" s="71"/>
      <c r="N35" s="71"/>
      <c r="O35" s="72"/>
      <c r="P35" s="72"/>
      <c r="X35" s="12">
        <v>52</v>
      </c>
      <c r="Y35" s="56">
        <v>32</v>
      </c>
    </row>
    <row r="36" spans="1:25" ht="13" thickBot="1" x14ac:dyDescent="0.3">
      <c r="A36" s="24" t="s">
        <v>62</v>
      </c>
      <c r="B36" s="9"/>
      <c r="C36" s="15"/>
      <c r="D36" s="154"/>
      <c r="E36" s="12" t="str">
        <f>IF(D24="Nee","Bijzonder verlof OOP","")</f>
        <v/>
      </c>
      <c r="F36" s="9"/>
      <c r="G36" s="12" t="str">
        <f>IF(E36="","",ROUND(VLOOKUP(S16,$X$1:$Y$76,2,FALSE)*D22,0))</f>
        <v/>
      </c>
      <c r="H36" s="77"/>
      <c r="J36" s="21"/>
      <c r="K36" s="21"/>
      <c r="L36" s="21"/>
      <c r="M36" s="21"/>
      <c r="N36" s="21"/>
      <c r="R36" s="56" t="s">
        <v>56</v>
      </c>
      <c r="S36" s="56">
        <v>40</v>
      </c>
      <c r="X36" s="12">
        <v>53</v>
      </c>
      <c r="Y36" s="56">
        <v>32</v>
      </c>
    </row>
    <row r="37" spans="1:25" ht="13" thickBot="1" x14ac:dyDescent="0.3">
      <c r="A37" s="24" t="s">
        <v>64</v>
      </c>
      <c r="B37" s="9"/>
      <c r="C37" s="15"/>
      <c r="D37" s="16"/>
      <c r="E37" s="13" t="s">
        <v>21</v>
      </c>
      <c r="F37" s="18"/>
      <c r="G37" s="76">
        <f>SUM(G33:G36)</f>
        <v>0</v>
      </c>
      <c r="J37" s="21"/>
      <c r="K37" s="21"/>
      <c r="L37" s="21"/>
      <c r="M37" s="21"/>
      <c r="N37" s="21"/>
      <c r="X37" s="12">
        <v>54</v>
      </c>
      <c r="Y37" s="56">
        <v>32</v>
      </c>
    </row>
    <row r="38" spans="1:25" ht="12.5" x14ac:dyDescent="0.25">
      <c r="A38" s="24" t="s">
        <v>64</v>
      </c>
      <c r="B38" s="9"/>
      <c r="C38" s="15"/>
      <c r="D38" s="16"/>
      <c r="E38" s="168" t="str">
        <f>IF(C76&lt;0,"LET OP:","")</f>
        <v/>
      </c>
      <c r="F38" s="168"/>
      <c r="G38" s="168"/>
      <c r="J38" s="169" t="s">
        <v>103</v>
      </c>
      <c r="K38" s="169"/>
      <c r="L38" s="169"/>
      <c r="M38" s="169"/>
      <c r="N38" s="169"/>
      <c r="X38" s="12">
        <v>55</v>
      </c>
      <c r="Y38" s="56">
        <v>40</v>
      </c>
    </row>
    <row r="39" spans="1:25" ht="12.5" x14ac:dyDescent="0.25">
      <c r="A39" s="24" t="s">
        <v>64</v>
      </c>
      <c r="B39" s="9"/>
      <c r="C39" s="15"/>
      <c r="D39" s="16"/>
      <c r="E39" s="168"/>
      <c r="F39" s="168"/>
      <c r="G39" s="168"/>
      <c r="J39" s="169"/>
      <c r="K39" s="169"/>
      <c r="L39" s="169"/>
      <c r="M39" s="169"/>
      <c r="N39" s="169"/>
      <c r="R39" s="78"/>
      <c r="X39" s="12">
        <v>56</v>
      </c>
      <c r="Y39" s="56">
        <v>40</v>
      </c>
    </row>
    <row r="40" spans="1:25" ht="12.75" customHeight="1" x14ac:dyDescent="0.25">
      <c r="A40" s="24" t="s">
        <v>64</v>
      </c>
      <c r="B40" s="9"/>
      <c r="C40" s="15"/>
      <c r="D40" s="204" t="str">
        <f>IF(C76&lt;0,"De werktijdfactor is te laag om deze taken te kunnen vervullen. Vul extra variabele dagen in.","")</f>
        <v/>
      </c>
      <c r="E40" s="170"/>
      <c r="F40" s="170"/>
      <c r="G40" s="170"/>
      <c r="J40" s="169"/>
      <c r="K40" s="169"/>
      <c r="L40" s="169"/>
      <c r="M40" s="169"/>
      <c r="N40" s="169"/>
      <c r="S40" s="78">
        <f>R39+R40</f>
        <v>0</v>
      </c>
      <c r="X40" s="12">
        <v>57</v>
      </c>
      <c r="Y40" s="56">
        <v>40</v>
      </c>
    </row>
    <row r="41" spans="1:25" ht="12.75" customHeight="1" x14ac:dyDescent="0.25">
      <c r="A41" s="24" t="s">
        <v>64</v>
      </c>
      <c r="B41" s="9"/>
      <c r="C41" s="15"/>
      <c r="D41" s="204"/>
      <c r="E41" s="170"/>
      <c r="F41" s="170"/>
      <c r="G41" s="170"/>
      <c r="J41" s="169"/>
      <c r="K41" s="169"/>
      <c r="L41" s="169"/>
      <c r="M41" s="169"/>
      <c r="N41" s="169"/>
      <c r="R41" s="12">
        <f>ROUND(1659*(LEFT(D20,2)/40)-ROUND(IF(A27="",ROUND(LEFT(D20,2)/40*40,0),ROUND(VLOOKUP(C27,$R$32:$S$36,2,FALSE)*LEFT(D20,2)/40,0))-C28,0)-ROUND(LEFT(D20,2)/40*2*41.475,0)-ROUND(IF(E36="",0,G36),0),0)</f>
        <v>0</v>
      </c>
      <c r="X41" s="12">
        <v>58</v>
      </c>
      <c r="Y41" s="56">
        <v>40</v>
      </c>
    </row>
    <row r="42" spans="1:25" ht="12.75" customHeight="1" x14ac:dyDescent="0.25">
      <c r="A42" s="24" t="s">
        <v>64</v>
      </c>
      <c r="B42" s="9"/>
      <c r="C42" s="15"/>
      <c r="D42" s="171" t="s">
        <v>63</v>
      </c>
      <c r="E42" s="171"/>
      <c r="F42" s="171"/>
      <c r="G42" s="171"/>
      <c r="H42" s="132"/>
      <c r="I42" s="79"/>
      <c r="J42" s="169"/>
      <c r="K42" s="169"/>
      <c r="L42" s="169"/>
      <c r="M42" s="169"/>
      <c r="N42" s="169"/>
      <c r="R42" s="78">
        <f>1659/40*LEFT(D20,2)</f>
        <v>0</v>
      </c>
      <c r="T42" s="78" t="e">
        <f>R41-G35-SUM(C33:C75)-U31</f>
        <v>#VALUE!</v>
      </c>
      <c r="X42" s="12">
        <v>59</v>
      </c>
      <c r="Y42" s="56">
        <v>40</v>
      </c>
    </row>
    <row r="43" spans="1:25" ht="12.5" x14ac:dyDescent="0.25">
      <c r="A43" s="24" t="s">
        <v>64</v>
      </c>
      <c r="B43" s="9"/>
      <c r="C43" s="15"/>
      <c r="D43" s="16"/>
      <c r="E43" s="133" t="s">
        <v>49</v>
      </c>
      <c r="F43" s="134"/>
      <c r="G43" s="135" t="s">
        <v>52</v>
      </c>
      <c r="H43" s="132"/>
      <c r="I43" s="79"/>
      <c r="J43" s="21"/>
      <c r="K43" s="21"/>
      <c r="L43" s="21"/>
      <c r="M43" s="21"/>
      <c r="N43" s="21"/>
      <c r="X43" s="12">
        <v>60</v>
      </c>
      <c r="Y43" s="56">
        <v>48</v>
      </c>
    </row>
    <row r="44" spans="1:25" ht="12.5" x14ac:dyDescent="0.25">
      <c r="A44" s="24" t="s">
        <v>64</v>
      </c>
      <c r="B44" s="9"/>
      <c r="C44" s="15"/>
      <c r="D44" s="136" t="s">
        <v>61</v>
      </c>
      <c r="E44" s="15"/>
      <c r="F44" s="137" t="s">
        <v>65</v>
      </c>
      <c r="G44" s="15"/>
      <c r="H44" s="132"/>
      <c r="I44" s="79"/>
      <c r="J44" s="21"/>
      <c r="K44" s="21"/>
      <c r="L44" s="21"/>
      <c r="M44" s="21"/>
      <c r="N44" s="21"/>
      <c r="X44" s="12">
        <v>61</v>
      </c>
      <c r="Y44" s="56">
        <v>48</v>
      </c>
    </row>
    <row r="45" spans="1:25" ht="12.5" x14ac:dyDescent="0.25">
      <c r="A45" s="24" t="s">
        <v>64</v>
      </c>
      <c r="B45" s="9"/>
      <c r="C45" s="15"/>
      <c r="D45" s="136" t="s">
        <v>66</v>
      </c>
      <c r="E45" s="15"/>
      <c r="F45" s="137" t="s">
        <v>67</v>
      </c>
      <c r="G45" s="15"/>
      <c r="H45" s="132"/>
      <c r="I45" s="79"/>
      <c r="J45" s="21"/>
      <c r="K45" s="21"/>
      <c r="L45" s="21"/>
      <c r="M45" s="21"/>
      <c r="N45" s="21"/>
      <c r="X45" s="12">
        <v>62</v>
      </c>
      <c r="Y45" s="56">
        <v>48</v>
      </c>
    </row>
    <row r="46" spans="1:25" ht="12.5" x14ac:dyDescent="0.25">
      <c r="A46" s="24" t="s">
        <v>64</v>
      </c>
      <c r="B46" s="9"/>
      <c r="C46" s="15"/>
      <c r="D46" s="138" t="s">
        <v>64</v>
      </c>
      <c r="E46" s="15"/>
      <c r="F46" s="137" t="s">
        <v>68</v>
      </c>
      <c r="G46" s="15"/>
      <c r="H46" s="17"/>
      <c r="I46" s="20"/>
      <c r="J46" s="21"/>
      <c r="K46" s="21"/>
      <c r="L46" s="21"/>
      <c r="M46" s="21"/>
      <c r="N46" s="21"/>
      <c r="X46" s="12">
        <v>63</v>
      </c>
      <c r="Y46" s="56">
        <v>48</v>
      </c>
    </row>
    <row r="47" spans="1:25" ht="12.5" x14ac:dyDescent="0.25">
      <c r="A47" s="24" t="s">
        <v>64</v>
      </c>
      <c r="B47" s="9"/>
      <c r="C47" s="15"/>
      <c r="D47" s="138" t="s">
        <v>64</v>
      </c>
      <c r="E47" s="15"/>
      <c r="F47" s="138" t="s">
        <v>64</v>
      </c>
      <c r="G47" s="15"/>
      <c r="H47" s="17"/>
      <c r="I47" s="20"/>
      <c r="J47" s="21"/>
      <c r="K47" s="21"/>
      <c r="L47" s="21"/>
      <c r="M47" s="21"/>
      <c r="N47" s="21"/>
      <c r="X47" s="12">
        <v>64</v>
      </c>
      <c r="Y47" s="56">
        <v>48</v>
      </c>
    </row>
    <row r="48" spans="1:25" ht="12.5" hidden="1" x14ac:dyDescent="0.25">
      <c r="A48" s="24" t="s">
        <v>64</v>
      </c>
      <c r="B48" s="9"/>
      <c r="C48" s="15"/>
      <c r="D48" s="138" t="s">
        <v>64</v>
      </c>
      <c r="E48" s="15"/>
      <c r="F48" s="138" t="s">
        <v>64</v>
      </c>
      <c r="G48" s="15"/>
      <c r="H48" s="17"/>
      <c r="I48" s="20"/>
      <c r="J48" s="21"/>
      <c r="K48" s="21"/>
      <c r="L48" s="21"/>
      <c r="M48" s="21"/>
      <c r="N48" s="21"/>
      <c r="X48" s="12">
        <v>65</v>
      </c>
      <c r="Y48" s="56">
        <v>48</v>
      </c>
    </row>
    <row r="49" spans="1:25" ht="12.5" hidden="1" x14ac:dyDescent="0.25">
      <c r="A49" s="24" t="s">
        <v>64</v>
      </c>
      <c r="B49" s="9"/>
      <c r="C49" s="15"/>
      <c r="D49" s="138" t="s">
        <v>64</v>
      </c>
      <c r="E49" s="15"/>
      <c r="F49" s="138" t="s">
        <v>64</v>
      </c>
      <c r="G49" s="15"/>
      <c r="H49" s="17"/>
      <c r="I49" s="20"/>
      <c r="J49" s="21"/>
      <c r="K49" s="21"/>
      <c r="L49" s="21"/>
      <c r="M49" s="21"/>
      <c r="N49" s="21"/>
      <c r="X49" s="12">
        <v>66</v>
      </c>
      <c r="Y49" s="56">
        <v>48</v>
      </c>
    </row>
    <row r="50" spans="1:25" ht="12.5" hidden="1" x14ac:dyDescent="0.25">
      <c r="A50" s="24" t="s">
        <v>64</v>
      </c>
      <c r="B50" s="9"/>
      <c r="C50" s="15"/>
      <c r="D50" s="138" t="s">
        <v>64</v>
      </c>
      <c r="E50" s="15"/>
      <c r="F50" s="138" t="s">
        <v>64</v>
      </c>
      <c r="G50" s="15"/>
      <c r="H50" s="17"/>
      <c r="I50" s="20"/>
      <c r="J50" s="21"/>
      <c r="K50" s="21"/>
      <c r="L50" s="21"/>
      <c r="M50" s="21"/>
      <c r="N50" s="21"/>
      <c r="X50" s="12">
        <v>67</v>
      </c>
      <c r="Y50" s="56">
        <v>48</v>
      </c>
    </row>
    <row r="51" spans="1:25" ht="12.5" hidden="1" x14ac:dyDescent="0.25">
      <c r="A51" s="24" t="s">
        <v>64</v>
      </c>
      <c r="B51" s="9"/>
      <c r="C51" s="15"/>
      <c r="D51" s="138" t="s">
        <v>64</v>
      </c>
      <c r="E51" s="15"/>
      <c r="F51" s="138" t="s">
        <v>64</v>
      </c>
      <c r="G51" s="15"/>
      <c r="H51" s="17"/>
      <c r="I51" s="20"/>
      <c r="J51" s="21"/>
      <c r="K51" s="21"/>
      <c r="L51" s="21"/>
      <c r="M51" s="21"/>
      <c r="N51" s="21"/>
      <c r="X51" s="12">
        <v>68</v>
      </c>
      <c r="Y51" s="56">
        <v>48</v>
      </c>
    </row>
    <row r="52" spans="1:25" ht="12.5" hidden="1" x14ac:dyDescent="0.25">
      <c r="A52" s="24" t="s">
        <v>64</v>
      </c>
      <c r="B52" s="9"/>
      <c r="C52" s="15"/>
      <c r="D52" s="138" t="s">
        <v>64</v>
      </c>
      <c r="E52" s="15"/>
      <c r="F52" s="138" t="s">
        <v>64</v>
      </c>
      <c r="G52" s="15"/>
      <c r="H52" s="17"/>
      <c r="I52" s="20"/>
      <c r="J52" s="21"/>
      <c r="K52" s="21"/>
      <c r="L52" s="21"/>
      <c r="M52" s="21"/>
      <c r="N52" s="21"/>
      <c r="X52" s="12">
        <v>69</v>
      </c>
      <c r="Y52" s="56">
        <v>48</v>
      </c>
    </row>
    <row r="53" spans="1:25" ht="12.5" hidden="1" x14ac:dyDescent="0.25">
      <c r="A53" s="24" t="s">
        <v>64</v>
      </c>
      <c r="B53" s="9"/>
      <c r="C53" s="15"/>
      <c r="D53" s="138" t="s">
        <v>64</v>
      </c>
      <c r="E53" s="15"/>
      <c r="F53" s="138" t="s">
        <v>64</v>
      </c>
      <c r="G53" s="15"/>
      <c r="H53" s="17"/>
      <c r="I53" s="20"/>
      <c r="J53" s="21"/>
      <c r="K53" s="21"/>
      <c r="L53" s="21"/>
      <c r="M53" s="21"/>
      <c r="N53" s="21"/>
      <c r="X53" s="12">
        <v>70</v>
      </c>
      <c r="Y53" s="56">
        <v>48</v>
      </c>
    </row>
    <row r="54" spans="1:25" ht="12.5" hidden="1" x14ac:dyDescent="0.25">
      <c r="A54" s="24" t="s">
        <v>64</v>
      </c>
      <c r="B54" s="9"/>
      <c r="C54" s="15"/>
      <c r="D54" s="138" t="s">
        <v>64</v>
      </c>
      <c r="E54" s="15"/>
      <c r="F54" s="138" t="s">
        <v>64</v>
      </c>
      <c r="G54" s="15"/>
      <c r="H54" s="17"/>
      <c r="I54" s="20"/>
      <c r="J54" s="21"/>
      <c r="K54" s="21"/>
      <c r="L54" s="21"/>
      <c r="M54" s="21"/>
      <c r="N54" s="21"/>
      <c r="X54" s="12">
        <v>71</v>
      </c>
      <c r="Y54" s="56">
        <v>48</v>
      </c>
    </row>
    <row r="55" spans="1:25" ht="12.5" hidden="1" x14ac:dyDescent="0.25">
      <c r="A55" s="24" t="s">
        <v>64</v>
      </c>
      <c r="B55" s="9"/>
      <c r="C55" s="15"/>
      <c r="D55" s="138" t="s">
        <v>64</v>
      </c>
      <c r="E55" s="15"/>
      <c r="F55" s="138" t="s">
        <v>64</v>
      </c>
      <c r="G55" s="15"/>
      <c r="H55" s="17"/>
      <c r="I55" s="20"/>
      <c r="J55" s="21"/>
      <c r="K55" s="21"/>
      <c r="L55" s="21"/>
      <c r="M55" s="21"/>
      <c r="N55" s="21"/>
      <c r="X55" s="12">
        <v>72</v>
      </c>
      <c r="Y55" s="56">
        <v>48</v>
      </c>
    </row>
    <row r="56" spans="1:25" s="9" customFormat="1" ht="12.5" hidden="1" x14ac:dyDescent="0.25">
      <c r="A56" s="24" t="s">
        <v>64</v>
      </c>
      <c r="C56" s="15"/>
      <c r="D56" s="138" t="s">
        <v>64</v>
      </c>
      <c r="E56" s="15"/>
      <c r="F56" s="138" t="s">
        <v>64</v>
      </c>
      <c r="G56" s="15"/>
      <c r="H56" s="17"/>
      <c r="I56" s="20"/>
      <c r="J56" s="21"/>
      <c r="K56" s="21"/>
      <c r="L56" s="21"/>
      <c r="M56" s="21"/>
      <c r="N56" s="21"/>
      <c r="Q56" s="12"/>
      <c r="R56" s="12"/>
      <c r="S56" s="12"/>
      <c r="T56" s="12"/>
      <c r="U56" s="12"/>
      <c r="V56" s="12"/>
      <c r="X56" s="12">
        <v>73</v>
      </c>
      <c r="Y56" s="56">
        <v>48</v>
      </c>
    </row>
    <row r="57" spans="1:25" s="9" customFormat="1" ht="12.5" hidden="1" x14ac:dyDescent="0.25">
      <c r="A57" s="24" t="s">
        <v>64</v>
      </c>
      <c r="C57" s="15"/>
      <c r="D57" s="138" t="s">
        <v>64</v>
      </c>
      <c r="E57" s="15"/>
      <c r="F57" s="138" t="s">
        <v>64</v>
      </c>
      <c r="G57" s="15"/>
      <c r="H57" s="17"/>
      <c r="I57" s="20"/>
      <c r="J57" s="21"/>
      <c r="K57" s="21"/>
      <c r="L57" s="21"/>
      <c r="M57" s="21"/>
      <c r="N57" s="21"/>
      <c r="Q57" s="12"/>
      <c r="R57" s="12"/>
      <c r="S57" s="12"/>
      <c r="T57" s="12"/>
      <c r="U57" s="12"/>
      <c r="V57" s="12"/>
      <c r="X57" s="12">
        <v>74</v>
      </c>
      <c r="Y57" s="56">
        <v>48</v>
      </c>
    </row>
    <row r="58" spans="1:25" s="9" customFormat="1" ht="12.5" hidden="1" x14ac:dyDescent="0.25">
      <c r="A58" s="24" t="s">
        <v>64</v>
      </c>
      <c r="C58" s="15"/>
      <c r="D58" s="138" t="s">
        <v>64</v>
      </c>
      <c r="E58" s="15"/>
      <c r="F58" s="138" t="s">
        <v>64</v>
      </c>
      <c r="G58" s="15"/>
      <c r="H58" s="17"/>
      <c r="I58" s="20"/>
      <c r="J58" s="21"/>
      <c r="K58" s="21"/>
      <c r="L58" s="21"/>
      <c r="M58" s="21"/>
      <c r="N58" s="21"/>
      <c r="Q58" s="12"/>
      <c r="R58" s="12"/>
      <c r="S58" s="12"/>
      <c r="T58" s="12"/>
      <c r="U58" s="12"/>
      <c r="V58" s="12"/>
      <c r="X58" s="12">
        <v>75</v>
      </c>
      <c r="Y58" s="56">
        <v>48</v>
      </c>
    </row>
    <row r="59" spans="1:25" s="9" customFormat="1" ht="12.5" hidden="1" x14ac:dyDescent="0.25">
      <c r="A59" s="24" t="s">
        <v>64</v>
      </c>
      <c r="C59" s="15"/>
      <c r="D59" s="138" t="s">
        <v>64</v>
      </c>
      <c r="E59" s="15"/>
      <c r="F59" s="138" t="s">
        <v>64</v>
      </c>
      <c r="G59" s="15"/>
      <c r="H59" s="17"/>
      <c r="I59" s="20"/>
      <c r="J59" s="21"/>
      <c r="K59" s="21"/>
      <c r="L59" s="21"/>
      <c r="M59" s="21"/>
      <c r="N59" s="21"/>
      <c r="Q59" s="12"/>
      <c r="R59" s="12"/>
      <c r="S59" s="12"/>
      <c r="T59" s="12"/>
      <c r="U59" s="12"/>
      <c r="V59" s="12"/>
      <c r="X59" s="12">
        <v>76</v>
      </c>
      <c r="Y59" s="56">
        <v>48</v>
      </c>
    </row>
    <row r="60" spans="1:25" s="9" customFormat="1" ht="12.5" hidden="1" x14ac:dyDescent="0.25">
      <c r="A60" s="24" t="s">
        <v>64</v>
      </c>
      <c r="C60" s="15"/>
      <c r="D60" s="138" t="s">
        <v>64</v>
      </c>
      <c r="E60" s="15"/>
      <c r="F60" s="138" t="s">
        <v>64</v>
      </c>
      <c r="G60" s="15"/>
      <c r="H60" s="17"/>
      <c r="I60" s="20"/>
      <c r="J60" s="21"/>
      <c r="K60" s="21"/>
      <c r="L60" s="21"/>
      <c r="M60" s="21"/>
      <c r="N60" s="21"/>
      <c r="Q60" s="12"/>
      <c r="R60" s="12"/>
      <c r="S60" s="12"/>
      <c r="T60" s="12"/>
      <c r="U60" s="12"/>
      <c r="V60" s="12"/>
      <c r="X60" s="12">
        <v>77</v>
      </c>
      <c r="Y60" s="56">
        <v>48</v>
      </c>
    </row>
    <row r="61" spans="1:25" s="9" customFormat="1" ht="12.5" hidden="1" x14ac:dyDescent="0.25">
      <c r="A61" s="24" t="s">
        <v>64</v>
      </c>
      <c r="C61" s="15"/>
      <c r="D61" s="138" t="s">
        <v>64</v>
      </c>
      <c r="E61" s="15"/>
      <c r="F61" s="138" t="s">
        <v>64</v>
      </c>
      <c r="G61" s="15"/>
      <c r="H61" s="17"/>
      <c r="I61" s="20"/>
      <c r="J61" s="21"/>
      <c r="K61" s="21"/>
      <c r="L61" s="21"/>
      <c r="M61" s="21"/>
      <c r="N61" s="21"/>
      <c r="Q61" s="12"/>
      <c r="R61" s="12"/>
      <c r="S61" s="12"/>
      <c r="T61" s="12"/>
      <c r="U61" s="12"/>
      <c r="V61" s="12"/>
      <c r="X61" s="12">
        <v>78</v>
      </c>
      <c r="Y61" s="56">
        <v>48</v>
      </c>
    </row>
    <row r="62" spans="1:25" s="9" customFormat="1" ht="12.5" hidden="1" x14ac:dyDescent="0.25">
      <c r="A62" s="24" t="s">
        <v>64</v>
      </c>
      <c r="C62" s="15"/>
      <c r="D62" s="138" t="s">
        <v>64</v>
      </c>
      <c r="E62" s="15"/>
      <c r="F62" s="138" t="s">
        <v>64</v>
      </c>
      <c r="G62" s="15"/>
      <c r="H62" s="17"/>
      <c r="I62" s="20"/>
      <c r="J62" s="21"/>
      <c r="K62" s="21"/>
      <c r="L62" s="21"/>
      <c r="M62" s="21"/>
      <c r="N62" s="21"/>
      <c r="Q62" s="12"/>
      <c r="R62" s="12"/>
      <c r="S62" s="12"/>
      <c r="T62" s="12"/>
      <c r="U62" s="12"/>
      <c r="V62" s="12"/>
      <c r="X62" s="12">
        <v>79</v>
      </c>
      <c r="Y62" s="56">
        <v>48</v>
      </c>
    </row>
    <row r="63" spans="1:25" s="9" customFormat="1" ht="12.5" hidden="1" x14ac:dyDescent="0.25">
      <c r="A63" s="24" t="s">
        <v>64</v>
      </c>
      <c r="C63" s="15"/>
      <c r="D63" s="138" t="s">
        <v>64</v>
      </c>
      <c r="E63" s="15"/>
      <c r="F63" s="138" t="s">
        <v>64</v>
      </c>
      <c r="G63" s="15"/>
      <c r="H63" s="17"/>
      <c r="I63" s="20"/>
      <c r="J63" s="21"/>
      <c r="K63" s="21"/>
      <c r="L63" s="21"/>
      <c r="M63" s="21"/>
      <c r="N63" s="21"/>
      <c r="Q63" s="12"/>
      <c r="R63" s="12"/>
      <c r="S63" s="12"/>
      <c r="T63" s="12"/>
      <c r="U63" s="12"/>
      <c r="V63" s="12"/>
      <c r="X63" s="12">
        <v>80</v>
      </c>
      <c r="Y63" s="56">
        <v>48</v>
      </c>
    </row>
    <row r="64" spans="1:25" s="9" customFormat="1" ht="12.5" hidden="1" x14ac:dyDescent="0.25">
      <c r="A64" s="24" t="s">
        <v>64</v>
      </c>
      <c r="C64" s="15"/>
      <c r="D64" s="138" t="s">
        <v>64</v>
      </c>
      <c r="E64" s="15"/>
      <c r="F64" s="138" t="s">
        <v>64</v>
      </c>
      <c r="G64" s="15"/>
      <c r="H64" s="17"/>
      <c r="I64" s="20"/>
      <c r="J64" s="21"/>
      <c r="K64" s="21"/>
      <c r="L64" s="21"/>
      <c r="M64" s="21"/>
      <c r="N64" s="21"/>
      <c r="Q64" s="12"/>
      <c r="R64" s="12"/>
      <c r="S64" s="12"/>
      <c r="T64" s="12"/>
      <c r="U64" s="12"/>
      <c r="V64" s="12"/>
      <c r="X64" s="12">
        <v>81</v>
      </c>
      <c r="Y64" s="56">
        <v>48</v>
      </c>
    </row>
    <row r="65" spans="1:25" s="9" customFormat="1" ht="12.5" hidden="1" x14ac:dyDescent="0.25">
      <c r="A65" s="24" t="s">
        <v>64</v>
      </c>
      <c r="C65" s="15"/>
      <c r="D65" s="138" t="s">
        <v>64</v>
      </c>
      <c r="E65" s="15"/>
      <c r="F65" s="138" t="s">
        <v>64</v>
      </c>
      <c r="G65" s="15"/>
      <c r="H65" s="17"/>
      <c r="I65" s="20"/>
      <c r="J65" s="21"/>
      <c r="K65" s="21"/>
      <c r="L65" s="21"/>
      <c r="M65" s="21"/>
      <c r="N65" s="21"/>
      <c r="Q65" s="12"/>
      <c r="R65" s="12"/>
      <c r="S65" s="12"/>
      <c r="T65" s="12"/>
      <c r="U65" s="12"/>
      <c r="V65" s="12"/>
      <c r="X65" s="12">
        <v>82</v>
      </c>
      <c r="Y65" s="56">
        <v>48</v>
      </c>
    </row>
    <row r="66" spans="1:25" s="9" customFormat="1" ht="12.5" hidden="1" x14ac:dyDescent="0.25">
      <c r="A66" s="24" t="s">
        <v>64</v>
      </c>
      <c r="C66" s="15"/>
      <c r="D66" s="138" t="s">
        <v>64</v>
      </c>
      <c r="E66" s="15"/>
      <c r="F66" s="138" t="s">
        <v>64</v>
      </c>
      <c r="G66" s="15"/>
      <c r="H66" s="17"/>
      <c r="I66" s="20"/>
      <c r="J66" s="21"/>
      <c r="K66" s="21"/>
      <c r="L66" s="21"/>
      <c r="M66" s="21"/>
      <c r="N66" s="21"/>
      <c r="Q66" s="12"/>
      <c r="R66" s="12"/>
      <c r="S66" s="12"/>
      <c r="T66" s="12"/>
      <c r="U66" s="12"/>
      <c r="V66" s="12"/>
      <c r="X66" s="12">
        <v>83</v>
      </c>
      <c r="Y66" s="56">
        <v>48</v>
      </c>
    </row>
    <row r="67" spans="1:25" s="9" customFormat="1" ht="12.5" hidden="1" x14ac:dyDescent="0.25">
      <c r="A67" s="24" t="s">
        <v>64</v>
      </c>
      <c r="C67" s="15"/>
      <c r="D67" s="138" t="s">
        <v>64</v>
      </c>
      <c r="E67" s="15"/>
      <c r="F67" s="138" t="s">
        <v>64</v>
      </c>
      <c r="G67" s="15"/>
      <c r="H67" s="17"/>
      <c r="I67" s="20"/>
      <c r="J67" s="21"/>
      <c r="K67" s="21"/>
      <c r="L67" s="21"/>
      <c r="M67" s="21"/>
      <c r="N67" s="21"/>
      <c r="Q67" s="12"/>
      <c r="R67" s="12"/>
      <c r="S67" s="12"/>
      <c r="T67" s="12"/>
      <c r="U67" s="12"/>
      <c r="V67" s="12"/>
      <c r="X67" s="12">
        <v>84</v>
      </c>
      <c r="Y67" s="56">
        <v>48</v>
      </c>
    </row>
    <row r="68" spans="1:25" s="9" customFormat="1" ht="12.5" hidden="1" x14ac:dyDescent="0.25">
      <c r="A68" s="24" t="s">
        <v>64</v>
      </c>
      <c r="C68" s="15"/>
      <c r="D68" s="138" t="s">
        <v>64</v>
      </c>
      <c r="E68" s="15"/>
      <c r="F68" s="138" t="s">
        <v>64</v>
      </c>
      <c r="G68" s="15"/>
      <c r="H68" s="17"/>
      <c r="I68" s="20"/>
      <c r="J68" s="21"/>
      <c r="K68" s="21"/>
      <c r="L68" s="21"/>
      <c r="M68" s="21"/>
      <c r="N68" s="21"/>
      <c r="Q68" s="12"/>
      <c r="R68" s="12"/>
      <c r="S68" s="12"/>
      <c r="T68" s="12"/>
      <c r="U68" s="12"/>
      <c r="V68" s="12"/>
      <c r="X68" s="12">
        <v>85</v>
      </c>
      <c r="Y68" s="56">
        <v>48</v>
      </c>
    </row>
    <row r="69" spans="1:25" s="9" customFormat="1" ht="12.5" hidden="1" x14ac:dyDescent="0.25">
      <c r="A69" s="24" t="s">
        <v>64</v>
      </c>
      <c r="C69" s="15"/>
      <c r="D69" s="138" t="s">
        <v>64</v>
      </c>
      <c r="E69" s="15"/>
      <c r="F69" s="138" t="s">
        <v>64</v>
      </c>
      <c r="G69" s="15"/>
      <c r="H69" s="17"/>
      <c r="I69" s="20"/>
      <c r="J69" s="21"/>
      <c r="K69" s="21"/>
      <c r="L69" s="21"/>
      <c r="M69" s="21"/>
      <c r="N69" s="21"/>
      <c r="Q69" s="12"/>
      <c r="R69" s="12"/>
      <c r="S69" s="12"/>
      <c r="T69" s="12"/>
      <c r="U69" s="12"/>
      <c r="V69" s="12"/>
      <c r="X69" s="12">
        <v>86</v>
      </c>
      <c r="Y69" s="56">
        <v>48</v>
      </c>
    </row>
    <row r="70" spans="1:25" s="9" customFormat="1" ht="12.5" hidden="1" x14ac:dyDescent="0.25">
      <c r="A70" s="24" t="s">
        <v>64</v>
      </c>
      <c r="C70" s="15"/>
      <c r="D70" s="138" t="s">
        <v>64</v>
      </c>
      <c r="E70" s="15"/>
      <c r="F70" s="138" t="s">
        <v>64</v>
      </c>
      <c r="G70" s="15"/>
      <c r="H70" s="17"/>
      <c r="I70" s="20"/>
      <c r="J70" s="21"/>
      <c r="K70" s="21"/>
      <c r="L70" s="21"/>
      <c r="M70" s="21"/>
      <c r="N70" s="21"/>
      <c r="Q70" s="12"/>
      <c r="R70" s="12"/>
      <c r="S70" s="12"/>
      <c r="T70" s="12"/>
      <c r="U70" s="12"/>
      <c r="V70" s="12"/>
      <c r="X70" s="12">
        <v>87</v>
      </c>
      <c r="Y70" s="56">
        <v>48</v>
      </c>
    </row>
    <row r="71" spans="1:25" s="9" customFormat="1" ht="12.5" hidden="1" x14ac:dyDescent="0.25">
      <c r="A71" s="24" t="s">
        <v>64</v>
      </c>
      <c r="C71" s="15"/>
      <c r="D71" s="138" t="s">
        <v>64</v>
      </c>
      <c r="E71" s="15"/>
      <c r="F71" s="138" t="s">
        <v>64</v>
      </c>
      <c r="G71" s="15"/>
      <c r="H71" s="17"/>
      <c r="I71" s="20"/>
      <c r="J71" s="21"/>
      <c r="K71" s="21"/>
      <c r="L71" s="21"/>
      <c r="M71" s="21"/>
      <c r="N71" s="21"/>
      <c r="Q71" s="12"/>
      <c r="R71" s="12"/>
      <c r="S71" s="12"/>
      <c r="T71" s="12"/>
      <c r="U71" s="12"/>
      <c r="V71" s="12"/>
      <c r="X71" s="12">
        <v>88</v>
      </c>
      <c r="Y71" s="56">
        <v>48</v>
      </c>
    </row>
    <row r="72" spans="1:25" s="9" customFormat="1" ht="12.5" hidden="1" x14ac:dyDescent="0.25">
      <c r="A72" s="24" t="s">
        <v>64</v>
      </c>
      <c r="C72" s="15"/>
      <c r="D72" s="138" t="s">
        <v>64</v>
      </c>
      <c r="E72" s="15"/>
      <c r="F72" s="138" t="s">
        <v>64</v>
      </c>
      <c r="G72" s="15"/>
      <c r="H72" s="17"/>
      <c r="I72" s="20"/>
      <c r="J72" s="21"/>
      <c r="K72" s="21"/>
      <c r="L72" s="21"/>
      <c r="M72" s="21"/>
      <c r="N72" s="21"/>
      <c r="Q72" s="12"/>
      <c r="R72" s="12"/>
      <c r="S72" s="12"/>
      <c r="T72" s="12"/>
      <c r="U72" s="12"/>
      <c r="V72" s="12"/>
      <c r="X72" s="12">
        <v>89</v>
      </c>
      <c r="Y72" s="56">
        <v>48</v>
      </c>
    </row>
    <row r="73" spans="1:25" s="9" customFormat="1" ht="12.5" hidden="1" x14ac:dyDescent="0.25">
      <c r="A73" s="24" t="s">
        <v>64</v>
      </c>
      <c r="C73" s="15"/>
      <c r="D73" s="138" t="s">
        <v>64</v>
      </c>
      <c r="E73" s="15"/>
      <c r="F73" s="138" t="s">
        <v>64</v>
      </c>
      <c r="G73" s="15"/>
      <c r="H73" s="17"/>
      <c r="I73" s="20"/>
      <c r="J73" s="21"/>
      <c r="K73" s="21"/>
      <c r="L73" s="21"/>
      <c r="M73" s="21"/>
      <c r="N73" s="21"/>
      <c r="Q73" s="12"/>
      <c r="R73" s="12"/>
      <c r="S73" s="12"/>
      <c r="T73" s="12"/>
      <c r="U73" s="12"/>
      <c r="V73" s="12"/>
      <c r="X73" s="12">
        <v>90</v>
      </c>
      <c r="Y73" s="56">
        <v>48</v>
      </c>
    </row>
    <row r="74" spans="1:25" s="9" customFormat="1" ht="13" thickBot="1" x14ac:dyDescent="0.3">
      <c r="A74" s="151" t="s">
        <v>64</v>
      </c>
      <c r="C74" s="15"/>
      <c r="D74" s="139" t="s">
        <v>71</v>
      </c>
      <c r="E74" s="140">
        <f>G33-SUM(E44:E73)</f>
        <v>0</v>
      </c>
      <c r="F74" s="139" t="s">
        <v>71</v>
      </c>
      <c r="G74" s="140">
        <f>G34-SUM(G44:G73)</f>
        <v>0</v>
      </c>
      <c r="H74" s="17"/>
      <c r="I74" s="20"/>
      <c r="J74" s="21"/>
      <c r="K74" s="21"/>
      <c r="L74" s="21"/>
      <c r="M74" s="21"/>
      <c r="N74" s="21"/>
      <c r="Q74" s="12"/>
      <c r="R74" s="12"/>
      <c r="S74" s="12"/>
      <c r="T74" s="12"/>
      <c r="U74" s="12"/>
      <c r="V74" s="12"/>
      <c r="X74" s="12">
        <v>91</v>
      </c>
      <c r="Y74" s="56">
        <v>48</v>
      </c>
    </row>
    <row r="75" spans="1:25" s="9" customFormat="1" ht="13" thickBot="1" x14ac:dyDescent="0.3">
      <c r="A75" s="7" t="s">
        <v>69</v>
      </c>
      <c r="C75" s="15"/>
      <c r="D75" s="154" t="s">
        <v>21</v>
      </c>
      <c r="E75" s="76">
        <f>SUM(E44:E74)</f>
        <v>0</v>
      </c>
      <c r="F75" s="154" t="s">
        <v>21</v>
      </c>
      <c r="G75" s="76">
        <f>SUM(G44:G74)</f>
        <v>0</v>
      </c>
      <c r="H75" s="17"/>
      <c r="I75" s="20"/>
      <c r="J75" s="21"/>
      <c r="K75" s="21"/>
      <c r="L75" s="21"/>
      <c r="M75" s="21"/>
      <c r="N75" s="21"/>
      <c r="Q75" s="12"/>
      <c r="R75" s="12"/>
      <c r="S75" s="12"/>
      <c r="T75" s="12"/>
      <c r="U75" s="12"/>
      <c r="V75" s="12"/>
      <c r="X75" s="12">
        <v>92</v>
      </c>
      <c r="Y75" s="56">
        <v>48</v>
      </c>
    </row>
    <row r="76" spans="1:25" s="9" customFormat="1" ht="13" thickBot="1" x14ac:dyDescent="0.3">
      <c r="A76" s="8" t="s">
        <v>70</v>
      </c>
      <c r="C76" s="10">
        <f>IFERROR(ROUND(IF(C28&gt;0,R41-G35-SUM(C33:C75)-U31,R41-SUM(C33:C75)-U31),0),0)</f>
        <v>0</v>
      </c>
      <c r="E76" s="17"/>
      <c r="F76" s="17"/>
      <c r="G76" s="17"/>
      <c r="H76" s="17"/>
      <c r="I76" s="20"/>
      <c r="J76" s="21"/>
      <c r="K76" s="21"/>
      <c r="L76" s="21"/>
      <c r="M76" s="21"/>
      <c r="N76" s="21"/>
      <c r="Q76" s="12"/>
      <c r="R76" s="12"/>
      <c r="S76" s="12"/>
      <c r="T76" s="12"/>
      <c r="U76" s="12"/>
      <c r="V76" s="12"/>
      <c r="X76" s="12">
        <v>93</v>
      </c>
      <c r="Y76" s="56">
        <v>48</v>
      </c>
    </row>
    <row r="77" spans="1:25" s="9" customFormat="1" ht="13" thickBot="1" x14ac:dyDescent="0.3">
      <c r="A77" s="13" t="s">
        <v>72</v>
      </c>
      <c r="C77" s="14">
        <f>SUM(C33:C76)</f>
        <v>0</v>
      </c>
      <c r="E77" s="17"/>
      <c r="F77" s="17"/>
      <c r="G77" s="17"/>
      <c r="H77" s="17"/>
      <c r="I77" s="20"/>
      <c r="J77" s="21"/>
      <c r="K77" s="21"/>
      <c r="L77" s="21"/>
      <c r="M77" s="21"/>
      <c r="N77" s="21"/>
      <c r="Q77" s="12"/>
      <c r="R77" s="12"/>
      <c r="S77" s="12"/>
      <c r="T77" s="12"/>
      <c r="U77" s="12"/>
      <c r="V77" s="12"/>
    </row>
    <row r="78" spans="1:25" s="9" customFormat="1" ht="12.5" x14ac:dyDescent="0.25">
      <c r="E78" s="17"/>
      <c r="F78" s="17"/>
      <c r="G78" s="17"/>
      <c r="H78" s="17"/>
      <c r="I78" s="20"/>
      <c r="J78" s="21"/>
      <c r="K78" s="21"/>
      <c r="L78" s="21"/>
      <c r="M78" s="21"/>
      <c r="N78" s="21"/>
      <c r="Q78" s="12"/>
      <c r="R78" s="12"/>
      <c r="S78" s="12"/>
      <c r="T78" s="12"/>
      <c r="U78" s="12"/>
      <c r="V78" s="12"/>
    </row>
    <row r="79" spans="1:25" s="9" customFormat="1" ht="12.75" hidden="1" customHeight="1" x14ac:dyDescent="0.25">
      <c r="A79" s="12"/>
      <c r="B79" s="12"/>
      <c r="C79" s="12"/>
      <c r="D79" s="12"/>
      <c r="E79" s="12"/>
      <c r="F79" s="12"/>
      <c r="G79" s="12"/>
      <c r="I79" s="21"/>
      <c r="J79" s="21"/>
      <c r="K79" s="21"/>
      <c r="L79" s="21"/>
      <c r="M79" s="21"/>
      <c r="N79" s="21"/>
      <c r="Q79" s="12"/>
      <c r="R79" s="12"/>
      <c r="S79" s="12"/>
      <c r="T79" s="12"/>
      <c r="U79" s="12"/>
      <c r="V79" s="12"/>
    </row>
    <row r="80" spans="1:25" s="9" customFormat="1" ht="13.5" hidden="1" customHeight="1" thickBot="1" x14ac:dyDescent="0.3">
      <c r="A80" s="12"/>
      <c r="B80" s="12"/>
      <c r="C80" s="12"/>
      <c r="D80" s="12"/>
      <c r="E80" s="12"/>
      <c r="F80" s="12"/>
      <c r="G80" s="12"/>
      <c r="I80" s="21"/>
      <c r="J80" s="21"/>
      <c r="K80" s="21"/>
      <c r="L80" s="21"/>
      <c r="M80" s="21"/>
      <c r="N80" s="21"/>
      <c r="Q80" s="12"/>
      <c r="R80" s="12"/>
      <c r="S80" s="12"/>
      <c r="T80" s="12"/>
      <c r="U80" s="12"/>
      <c r="V80" s="12"/>
    </row>
    <row r="81" spans="1:22" s="9" customFormat="1" ht="12.5" hidden="1" x14ac:dyDescent="0.25">
      <c r="A81" s="12"/>
      <c r="B81" s="12"/>
      <c r="C81" s="12"/>
      <c r="D81" s="12"/>
      <c r="E81" s="12"/>
      <c r="F81" s="12"/>
      <c r="G81" s="12"/>
      <c r="I81" s="21"/>
      <c r="J81" s="21"/>
      <c r="K81" s="21"/>
      <c r="L81" s="21"/>
      <c r="M81" s="21"/>
      <c r="N81" s="21"/>
      <c r="Q81" s="12"/>
      <c r="R81" s="12"/>
      <c r="S81" s="12"/>
      <c r="T81" s="12"/>
      <c r="U81" s="12"/>
      <c r="V81" s="12"/>
    </row>
    <row r="82" spans="1:22" s="9" customFormat="1" ht="12.5" hidden="1" x14ac:dyDescent="0.25">
      <c r="A82" s="12"/>
      <c r="B82" s="12"/>
      <c r="C82" s="12"/>
      <c r="D82" s="12"/>
      <c r="E82" s="12"/>
      <c r="F82" s="12"/>
      <c r="G82" s="12"/>
      <c r="I82" s="21"/>
      <c r="J82" s="21"/>
      <c r="K82" s="21"/>
      <c r="L82" s="21"/>
      <c r="M82" s="21"/>
      <c r="N82" s="21"/>
      <c r="Q82" s="12"/>
      <c r="R82" s="12"/>
      <c r="S82" s="12"/>
      <c r="T82" s="12"/>
      <c r="U82" s="12"/>
      <c r="V82" s="12"/>
    </row>
    <row r="83" spans="1:22" s="9" customFormat="1" ht="12.5" hidden="1" x14ac:dyDescent="0.25">
      <c r="A83" s="12"/>
      <c r="B83" s="12"/>
      <c r="C83" s="12"/>
      <c r="D83" s="12"/>
      <c r="E83" s="12"/>
      <c r="F83" s="12"/>
      <c r="G83" s="12"/>
      <c r="I83" s="21"/>
      <c r="J83" s="21"/>
      <c r="K83" s="21"/>
      <c r="L83" s="21"/>
      <c r="M83" s="21"/>
      <c r="N83" s="21"/>
      <c r="Q83" s="12"/>
      <c r="R83" s="12"/>
      <c r="S83" s="12"/>
      <c r="T83" s="12"/>
      <c r="U83" s="12"/>
      <c r="V83" s="12"/>
    </row>
    <row r="84" spans="1:22" s="9" customFormat="1" ht="12.5" hidden="1" x14ac:dyDescent="0.25">
      <c r="A84" s="12"/>
      <c r="B84" s="12"/>
      <c r="C84" s="12"/>
      <c r="D84" s="12"/>
      <c r="E84" s="12"/>
      <c r="F84" s="12"/>
      <c r="G84" s="12"/>
      <c r="I84" s="21"/>
      <c r="J84" s="21"/>
      <c r="K84" s="21"/>
      <c r="L84" s="21"/>
      <c r="M84" s="21"/>
      <c r="N84" s="21"/>
      <c r="Q84" s="12"/>
      <c r="R84" s="12"/>
      <c r="S84" s="12"/>
      <c r="T84" s="12"/>
      <c r="U84" s="12"/>
      <c r="V84" s="12"/>
    </row>
    <row r="85" spans="1:22" s="9" customFormat="1" ht="12.5" hidden="1" x14ac:dyDescent="0.25">
      <c r="A85" s="12"/>
      <c r="B85" s="12"/>
      <c r="C85" s="12"/>
      <c r="D85" s="12"/>
      <c r="E85" s="12"/>
      <c r="F85" s="12"/>
      <c r="G85" s="12"/>
      <c r="I85" s="21"/>
      <c r="J85" s="21"/>
      <c r="K85" s="21"/>
      <c r="L85" s="21"/>
      <c r="M85" s="21"/>
      <c r="N85" s="21"/>
      <c r="Q85" s="12"/>
      <c r="R85" s="12"/>
      <c r="S85" s="12"/>
      <c r="T85" s="12"/>
      <c r="U85" s="12"/>
      <c r="V85" s="12"/>
    </row>
    <row r="86" spans="1:22" s="9" customFormat="1" ht="12.75" hidden="1" customHeight="1" x14ac:dyDescent="0.25">
      <c r="A86" s="12"/>
      <c r="B86" s="12"/>
      <c r="C86" s="12"/>
      <c r="D86" s="12"/>
      <c r="E86" s="12"/>
      <c r="F86" s="12"/>
      <c r="G86" s="12"/>
      <c r="I86" s="21"/>
      <c r="J86" s="21"/>
      <c r="K86" s="21"/>
      <c r="L86" s="21"/>
      <c r="M86" s="21"/>
      <c r="N86" s="21"/>
      <c r="Q86" s="12"/>
      <c r="R86" s="12"/>
      <c r="S86" s="12"/>
      <c r="T86" s="12"/>
      <c r="U86" s="12"/>
      <c r="V86" s="12"/>
    </row>
    <row r="87" spans="1:22" s="9" customFormat="1" ht="12.75" hidden="1" customHeight="1" x14ac:dyDescent="0.25">
      <c r="A87" s="12"/>
      <c r="B87" s="12"/>
      <c r="C87" s="12"/>
      <c r="D87" s="12"/>
      <c r="E87" s="12"/>
      <c r="F87" s="12"/>
      <c r="G87" s="12"/>
      <c r="I87" s="21"/>
      <c r="J87" s="21"/>
      <c r="K87" s="21"/>
      <c r="L87" s="21"/>
      <c r="M87" s="21"/>
      <c r="N87" s="21"/>
      <c r="Q87" s="12"/>
      <c r="R87" s="12"/>
      <c r="S87" s="12"/>
      <c r="T87" s="12"/>
      <c r="U87" s="12"/>
      <c r="V87" s="12"/>
    </row>
    <row r="88" spans="1:22" s="9" customFormat="1" ht="12.75" hidden="1" customHeight="1" x14ac:dyDescent="0.25">
      <c r="A88" s="12"/>
      <c r="B88" s="12"/>
      <c r="C88" s="12"/>
      <c r="D88" s="12"/>
      <c r="E88" s="12"/>
      <c r="F88" s="12"/>
      <c r="G88" s="12"/>
      <c r="I88" s="21"/>
      <c r="J88" s="21"/>
      <c r="K88" s="21"/>
      <c r="L88" s="21"/>
      <c r="M88" s="21"/>
      <c r="N88" s="21"/>
      <c r="Q88" s="12"/>
      <c r="R88" s="12"/>
      <c r="S88" s="12"/>
      <c r="T88" s="12"/>
      <c r="U88" s="12"/>
      <c r="V88" s="12"/>
    </row>
  </sheetData>
  <sheetProtection algorithmName="SHA-512" hashValue="wqm2Vw3mhX10rd2UNI5ZhkKCbAhzTSHSdlMttsC5rOOLJqfh7ale01F3DMBS1FAQOUeGydccF6MMnir2zaWkMA==" saltValue="uvQISlyY2ZrRX3yXkKhiFg==" spinCount="100000" sheet="1" objects="1" scenarios="1" formatColumns="0" formatRows="0" insertColumns="0" insertRows="0" selectLockedCells="1"/>
  <mergeCells count="25">
    <mergeCell ref="J26:N27"/>
    <mergeCell ref="J24:N25"/>
    <mergeCell ref="J38:N42"/>
    <mergeCell ref="E38:G39"/>
    <mergeCell ref="D40:G41"/>
    <mergeCell ref="D42:G42"/>
    <mergeCell ref="C25:D25"/>
    <mergeCell ref="C26:D26"/>
    <mergeCell ref="E26:G26"/>
    <mergeCell ref="C27:D27"/>
    <mergeCell ref="B11:C11"/>
    <mergeCell ref="B20:C21"/>
    <mergeCell ref="D20:D21"/>
    <mergeCell ref="E11:G11"/>
    <mergeCell ref="J16:N21"/>
    <mergeCell ref="J10:N15"/>
    <mergeCell ref="E20:F21"/>
    <mergeCell ref="G20:G21"/>
    <mergeCell ref="B8:H8"/>
    <mergeCell ref="B7:D7"/>
    <mergeCell ref="D2:E2"/>
    <mergeCell ref="B5:D5"/>
    <mergeCell ref="F5:G5"/>
    <mergeCell ref="B6:D6"/>
    <mergeCell ref="F6:G6"/>
  </mergeCells>
  <conditionalFormatting sqref="C28">
    <cfRule type="cellIs" dxfId="42" priority="10" operator="equal">
      <formula>$A$28&lt;&gt;"Aantal uur verlof"</formula>
    </cfRule>
    <cfRule type="cellIs" dxfId="41" priority="11" operator="equal">
      <formula>""""""</formula>
    </cfRule>
    <cfRule type="cellIs" dxfId="40" priority="12" operator="between">
      <formula>1</formula>
      <formula>500</formula>
    </cfRule>
  </conditionalFormatting>
  <conditionalFormatting sqref="C27:D27">
    <cfRule type="containsText" dxfId="39" priority="74" operator="containsText" text="e">
      <formula>NOT(ISERROR(SEARCH("e",C27)))</formula>
    </cfRule>
    <cfRule type="cellIs" dxfId="38" priority="75" operator="equal">
      <formula>$A$27&lt;&gt;"Recht duurzame inzetbaarheid"</formula>
    </cfRule>
  </conditionalFormatting>
  <conditionalFormatting sqref="G25">
    <cfRule type="cellIs" dxfId="37" priority="6" operator="equal">
      <formula>$C$25&lt;&gt;"Ja"</formula>
    </cfRule>
    <cfRule type="cellIs" dxfId="36" priority="7" operator="between">
      <formula>0.0001</formula>
      <formula>2</formula>
    </cfRule>
  </conditionalFormatting>
  <conditionalFormatting sqref="G20:G21">
    <cfRule type="containsText" dxfId="35" priority="3" operator="containsText" text="u">
      <formula>NOT(ISERROR(SEARCH("u",G20)))</formula>
    </cfRule>
    <cfRule type="cellIs" dxfId="34" priority="4" operator="equal">
      <formula>$A$28&lt;&gt;"Aantal uur verlof"</formula>
    </cfRule>
    <cfRule type="cellIs" dxfId="33" priority="5" operator="equal">
      <formula>$E$25&lt;&gt;"Werktijdfactor verlof"</formula>
    </cfRule>
  </conditionalFormatting>
  <conditionalFormatting sqref="G74">
    <cfRule type="cellIs" dxfId="32" priority="2" operator="lessThan">
      <formula>0</formula>
    </cfRule>
  </conditionalFormatting>
  <conditionalFormatting sqref="E74">
    <cfRule type="cellIs" dxfId="31" priority="1" operator="lessThan">
      <formula>0</formula>
    </cfRule>
  </conditionalFormatting>
  <dataValidations count="3">
    <dataValidation type="list" allowBlank="1" showInputMessage="1" showErrorMessage="1" sqref="C27:D27" xr:uid="{00000000-0002-0000-0300-000000000000}">
      <formula1>$S$20:$S$22</formula1>
    </dataValidation>
    <dataValidation type="list" allowBlank="1" showInputMessage="1" showErrorMessage="1" sqref="C25 D24" xr:uid="{00000000-0002-0000-0300-000001000000}">
      <formula1>"Ja,Nee"</formula1>
    </dataValidation>
    <dataValidation type="whole" allowBlank="1" showInputMessage="1" showErrorMessage="1" errorTitle="Foutieve invoer" error="Het aantal uur verlof past niet binnen uw budget" sqref="C28" xr:uid="{00000000-0002-0000-0300-000002000000}">
      <formula1>0</formula1>
      <formula2>IF(C27="Overgangsregeling 56+",ROUND(340*LEFT(D20,2)/40,0),IF(C27="Overgangsregeling 52+",ROUND(170*LEFT(D20,2)/40,0),IF(C27="Basis en bijzonder budget",ROUND(170*LEFT(D20,2)/40,0),"")))</formula2>
    </dataValidation>
  </dataValidations>
  <pageMargins left="0.7" right="0.7" top="0.75" bottom="0.75" header="0.3" footer="0.3"/>
  <pageSetup paperSize="9" orientation="portrait" horizontalDpi="1200" verticalDpi="1200" r:id="rId1"/>
  <ignoredErrors>
    <ignoredError sqref="G13:G17"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4"/>
  <dimension ref="A1:U141"/>
  <sheetViews>
    <sheetView zoomScaleNormal="100" workbookViewId="0">
      <selection activeCell="D2" sqref="D2:E2"/>
    </sheetView>
  </sheetViews>
  <sheetFormatPr defaultColWidth="0" defaultRowHeight="12.75" customHeight="1" zeroHeight="1" x14ac:dyDescent="0.25"/>
  <cols>
    <col min="1" max="1" width="12.1796875" style="12" customWidth="1"/>
    <col min="2" max="3" width="14.1796875" style="12" customWidth="1"/>
    <col min="4" max="4" width="11.1796875" style="12" customWidth="1"/>
    <col min="5" max="6" width="14.1796875" style="12" customWidth="1"/>
    <col min="7" max="8" width="10.1796875" style="12" customWidth="1"/>
    <col min="9" max="9" width="6.1796875" style="12" customWidth="1"/>
    <col min="10" max="10" width="2" style="21" customWidth="1"/>
    <col min="11" max="15" width="13.81640625" style="9" customWidth="1"/>
    <col min="16" max="16" width="9.1796875" style="12" hidden="1"/>
    <col min="17" max="18" width="9.453125" style="12" hidden="1"/>
    <col min="19" max="16384" width="9.1796875" style="12" hidden="1"/>
  </cols>
  <sheetData>
    <row r="1" spans="1:19" ht="12.5" x14ac:dyDescent="0.25">
      <c r="A1" s="100" t="s">
        <v>128</v>
      </c>
      <c r="B1" s="9"/>
      <c r="C1" s="9"/>
      <c r="D1" s="9"/>
      <c r="E1" s="9"/>
      <c r="F1" s="9"/>
      <c r="G1" s="9"/>
      <c r="H1" s="9"/>
      <c r="K1" s="21"/>
      <c r="L1" s="21"/>
      <c r="M1" s="21"/>
      <c r="N1" s="21"/>
      <c r="O1" s="21"/>
      <c r="S1" s="26"/>
    </row>
    <row r="2" spans="1:19" ht="17.5" x14ac:dyDescent="0.35">
      <c r="A2" s="25" t="s">
        <v>73</v>
      </c>
      <c r="B2" s="9"/>
      <c r="C2" s="9"/>
      <c r="D2" s="226"/>
      <c r="E2" s="226"/>
      <c r="F2" s="9"/>
      <c r="G2" s="9"/>
      <c r="H2" s="9"/>
      <c r="I2" s="9"/>
      <c r="K2" s="21"/>
      <c r="L2" s="21"/>
      <c r="M2" s="21"/>
      <c r="N2" s="21"/>
      <c r="O2" s="21"/>
      <c r="S2" s="26"/>
    </row>
    <row r="3" spans="1:19" ht="12.5" x14ac:dyDescent="0.25">
      <c r="A3" s="9"/>
      <c r="B3" s="9"/>
      <c r="C3" s="9"/>
      <c r="D3" s="9"/>
      <c r="E3" s="9"/>
      <c r="F3" s="9"/>
      <c r="G3" s="9"/>
      <c r="H3" s="9"/>
      <c r="I3" s="9"/>
      <c r="K3" s="21"/>
      <c r="L3" s="21"/>
      <c r="M3" s="21"/>
      <c r="N3" s="21"/>
      <c r="O3" s="21"/>
    </row>
    <row r="4" spans="1:19" ht="12.5" x14ac:dyDescent="0.25">
      <c r="A4" s="27" t="s">
        <v>1</v>
      </c>
      <c r="B4" s="9"/>
      <c r="C4" s="9"/>
      <c r="D4" s="9"/>
      <c r="E4" s="27" t="s">
        <v>2</v>
      </c>
      <c r="F4" s="9"/>
      <c r="G4" s="9"/>
      <c r="H4" s="9"/>
      <c r="I4" s="9"/>
      <c r="K4" s="21"/>
      <c r="L4" s="21"/>
      <c r="M4" s="21"/>
      <c r="N4" s="21"/>
      <c r="O4" s="21"/>
    </row>
    <row r="5" spans="1:19" ht="12.5" x14ac:dyDescent="0.25">
      <c r="A5" s="9" t="s">
        <v>3</v>
      </c>
      <c r="B5" s="186"/>
      <c r="C5" s="186"/>
      <c r="D5" s="186"/>
      <c r="E5" s="9" t="s">
        <v>4</v>
      </c>
      <c r="F5" s="186"/>
      <c r="G5" s="186"/>
      <c r="H5" s="7"/>
      <c r="I5" s="9"/>
      <c r="K5" s="21"/>
      <c r="L5" s="21"/>
      <c r="M5" s="21"/>
      <c r="N5" s="21"/>
      <c r="O5" s="21"/>
    </row>
    <row r="6" spans="1:19" ht="12.5" x14ac:dyDescent="0.25">
      <c r="A6" s="9" t="s">
        <v>5</v>
      </c>
      <c r="B6" s="186"/>
      <c r="C6" s="186"/>
      <c r="D6" s="186"/>
      <c r="E6" s="9" t="s">
        <v>6</v>
      </c>
      <c r="F6" s="186"/>
      <c r="G6" s="186"/>
      <c r="H6" s="7"/>
      <c r="I6" s="9"/>
      <c r="K6" s="21"/>
      <c r="L6" s="21"/>
      <c r="M6" s="21"/>
      <c r="N6" s="21"/>
      <c r="O6" s="21"/>
    </row>
    <row r="7" spans="1:19" ht="12.5" x14ac:dyDescent="0.25">
      <c r="A7" s="9" t="s">
        <v>7</v>
      </c>
      <c r="B7" s="186"/>
      <c r="C7" s="186"/>
      <c r="D7" s="186"/>
      <c r="E7" s="9"/>
      <c r="F7" s="9"/>
      <c r="G7" s="9"/>
      <c r="H7" s="9"/>
      <c r="I7" s="9"/>
      <c r="K7" s="21"/>
      <c r="L7" s="21"/>
      <c r="M7" s="21"/>
      <c r="N7" s="21"/>
      <c r="O7" s="21"/>
      <c r="S7" s="13"/>
    </row>
    <row r="8" spans="1:19" ht="13" thickBot="1" x14ac:dyDescent="0.3">
      <c r="A8" s="30"/>
      <c r="B8" s="30"/>
      <c r="C8" s="30"/>
      <c r="D8" s="30"/>
      <c r="E8" s="30"/>
      <c r="F8" s="30"/>
      <c r="G8" s="30"/>
      <c r="H8" s="30"/>
      <c r="I8" s="30"/>
      <c r="J8" s="31"/>
      <c r="K8" s="31"/>
      <c r="L8" s="31"/>
      <c r="M8" s="31"/>
      <c r="N8" s="31"/>
      <c r="O8" s="31"/>
    </row>
    <row r="9" spans="1:19" ht="13" thickBot="1" x14ac:dyDescent="0.3">
      <c r="A9" s="9"/>
      <c r="B9" s="9"/>
      <c r="C9" s="9"/>
      <c r="D9" s="9"/>
      <c r="E9" s="9"/>
      <c r="F9" s="9"/>
      <c r="G9" s="9"/>
      <c r="H9" s="9"/>
      <c r="I9" s="9"/>
      <c r="K9" s="32" t="s">
        <v>10</v>
      </c>
      <c r="L9" s="32"/>
      <c r="M9" s="32"/>
      <c r="N9" s="32"/>
      <c r="O9" s="32"/>
    </row>
    <row r="10" spans="1:19" ht="12.75" customHeight="1" x14ac:dyDescent="0.25">
      <c r="A10" s="220" t="s">
        <v>104</v>
      </c>
      <c r="B10" s="220"/>
      <c r="C10" s="220"/>
      <c r="D10" s="221">
        <v>0</v>
      </c>
      <c r="E10" s="223" t="str">
        <f>IF(D10&gt;0,FLOOR(D10*40,1)&amp;" uur"&amp;IF((ROUND((D10*40-FLOOR(D10*40,1))*60,0))=0,""," en "&amp;ROUND((D10*40-FLOOR(D10*40,1))*60,0)&amp;" minuten"),"")</f>
        <v/>
      </c>
      <c r="F10" s="224"/>
      <c r="G10" s="9"/>
      <c r="H10" s="9"/>
      <c r="I10" s="9"/>
      <c r="K10" s="189" t="s">
        <v>105</v>
      </c>
      <c r="L10" s="189"/>
      <c r="M10" s="189"/>
      <c r="N10" s="189"/>
      <c r="O10" s="189"/>
    </row>
    <row r="11" spans="1:19" ht="12.75" customHeight="1" thickBot="1" x14ac:dyDescent="0.3">
      <c r="A11" s="220"/>
      <c r="B11" s="220"/>
      <c r="C11" s="220"/>
      <c r="D11" s="222"/>
      <c r="E11" s="223"/>
      <c r="F11" s="224"/>
      <c r="G11" s="9"/>
      <c r="H11" s="9"/>
      <c r="I11" s="9"/>
      <c r="K11" s="189"/>
      <c r="L11" s="189"/>
      <c r="M11" s="189"/>
      <c r="N11" s="189"/>
      <c r="O11" s="189"/>
    </row>
    <row r="12" spans="1:19" ht="12.75" customHeight="1" x14ac:dyDescent="0.25">
      <c r="A12" s="158"/>
      <c r="B12" s="225" t="str">
        <f>IF(C36&gt;0,"Werktijdfactor exclusief verlof duurzame inzetbaarheid:",IF(G33&gt;0,"Werktijdfactor exclusief ouderschapsverlof:",""))</f>
        <v/>
      </c>
      <c r="C12" s="225"/>
      <c r="D12" s="225"/>
      <c r="E12" s="225" t="str">
        <f>IF(C36&gt;0,FLOOR((D10-(G52/1659))*40,1)&amp;" uur"&amp;IF((ROUND(((D10-(G52/1659))*40-FLOOR((D10-(G52/1659))*40,1))*60,0))=0,""," en "&amp;ROUND(((D10-(G52/1659))*40-FLOOR((D10-(G52/1659))*40,1))*60,0)&amp;" minuten"),IF(G33&gt;0,FLOOR((D10-(G52/1659))*40,1)&amp;" uur"&amp;IF((ROUND(((D10-(G52/1659))*40-FLOOR((D10-(G52/1659))*40,1))*60,0))=0,""," en "&amp;ROUND(((D10-(G52/1659))*40-FLOOR((D10-(G52/1659))*40,1))*60,0)&amp;" minuten"),""))</f>
        <v/>
      </c>
      <c r="F12" s="225"/>
      <c r="G12" s="9"/>
      <c r="H12" s="9"/>
      <c r="I12" s="9"/>
      <c r="K12" s="189"/>
      <c r="L12" s="189"/>
      <c r="M12" s="189"/>
      <c r="N12" s="189"/>
      <c r="O12" s="189"/>
    </row>
    <row r="13" spans="1:19" ht="12.75" customHeight="1" x14ac:dyDescent="0.25">
      <c r="A13" s="158"/>
      <c r="B13" s="225"/>
      <c r="C13" s="225"/>
      <c r="D13" s="225"/>
      <c r="E13" s="225"/>
      <c r="F13" s="225"/>
      <c r="G13" s="9"/>
      <c r="H13" s="9"/>
      <c r="I13" s="9"/>
      <c r="K13" s="152"/>
      <c r="L13" s="152"/>
      <c r="M13" s="152"/>
      <c r="N13" s="152"/>
      <c r="O13" s="152"/>
    </row>
    <row r="14" spans="1:19" ht="12.75" customHeight="1" x14ac:dyDescent="0.25">
      <c r="A14" s="158"/>
      <c r="B14" s="158"/>
      <c r="C14" s="158"/>
      <c r="D14" s="159"/>
      <c r="E14" s="159"/>
      <c r="F14" s="159"/>
      <c r="G14" s="9"/>
      <c r="H14" s="9"/>
      <c r="I14" s="9"/>
      <c r="K14" s="196" t="s">
        <v>106</v>
      </c>
      <c r="L14" s="196"/>
      <c r="M14" s="196"/>
      <c r="N14" s="196"/>
      <c r="O14" s="196"/>
    </row>
    <row r="15" spans="1:19" ht="12.75" customHeight="1" x14ac:dyDescent="0.25">
      <c r="A15" s="29" t="s">
        <v>107</v>
      </c>
      <c r="B15" s="13"/>
      <c r="C15" s="4">
        <v>0</v>
      </c>
      <c r="D15" s="29" t="s">
        <v>9</v>
      </c>
      <c r="E15" s="9"/>
      <c r="F15" s="147">
        <v>0</v>
      </c>
      <c r="G15" s="9"/>
      <c r="H15" s="9"/>
      <c r="I15" s="9"/>
      <c r="K15" s="196"/>
      <c r="L15" s="196"/>
      <c r="M15" s="196"/>
      <c r="N15" s="196"/>
      <c r="O15" s="196"/>
    </row>
    <row r="16" spans="1:19" ht="13" thickBot="1" x14ac:dyDescent="0.3">
      <c r="A16" s="30"/>
      <c r="B16" s="30"/>
      <c r="C16" s="30"/>
      <c r="D16" s="30"/>
      <c r="E16" s="30"/>
      <c r="F16" s="30"/>
      <c r="G16" s="30"/>
      <c r="H16" s="30"/>
      <c r="I16" s="30"/>
      <c r="J16" s="31"/>
      <c r="K16" s="119"/>
      <c r="L16" s="119"/>
      <c r="M16" s="119"/>
      <c r="N16" s="119"/>
      <c r="O16" s="119"/>
    </row>
    <row r="17" spans="1:18" ht="12.5" x14ac:dyDescent="0.25">
      <c r="A17" s="9"/>
      <c r="B17" s="9"/>
      <c r="C17" s="9"/>
      <c r="D17" s="9"/>
      <c r="E17" s="9"/>
      <c r="F17" s="9"/>
      <c r="G17" s="9"/>
      <c r="H17" s="9"/>
      <c r="I17" s="9"/>
      <c r="K17" s="219"/>
      <c r="L17" s="219"/>
      <c r="M17" s="219"/>
      <c r="N17" s="219"/>
      <c r="O17" s="219"/>
    </row>
    <row r="18" spans="1:18" ht="12.75" customHeight="1" x14ac:dyDescent="0.25">
      <c r="A18" s="86"/>
      <c r="B18" s="86"/>
      <c r="C18" s="190" t="s">
        <v>12</v>
      </c>
      <c r="D18" s="190"/>
      <c r="E18" s="9"/>
      <c r="F18" s="86"/>
      <c r="G18" s="86"/>
      <c r="H18" s="86"/>
      <c r="I18" s="86"/>
      <c r="K18" s="91"/>
      <c r="L18" s="91"/>
      <c r="M18" s="91"/>
      <c r="N18" s="91"/>
      <c r="O18" s="91"/>
    </row>
    <row r="19" spans="1:18" ht="12.5" x14ac:dyDescent="0.25">
      <c r="B19" s="34"/>
      <c r="C19" s="35" t="s">
        <v>13</v>
      </c>
      <c r="D19" s="35" t="s">
        <v>14</v>
      </c>
      <c r="E19" s="35"/>
      <c r="F19" s="35"/>
      <c r="G19" s="29"/>
      <c r="H19" s="29"/>
      <c r="I19" s="29"/>
      <c r="K19" s="44"/>
      <c r="L19" s="44"/>
      <c r="M19" s="44"/>
      <c r="N19" s="44"/>
      <c r="O19" s="44"/>
    </row>
    <row r="20" spans="1:18" ht="12.75" customHeight="1" x14ac:dyDescent="0.25">
      <c r="A20" s="86"/>
      <c r="B20" s="9" t="s">
        <v>15</v>
      </c>
      <c r="C20" s="6">
        <v>5.5</v>
      </c>
      <c r="D20" s="2"/>
      <c r="E20" s="92"/>
      <c r="F20" s="92"/>
      <c r="G20" s="92"/>
      <c r="H20" s="92"/>
      <c r="I20" s="92"/>
      <c r="K20" s="189" t="s">
        <v>108</v>
      </c>
      <c r="L20" s="189"/>
      <c r="M20" s="189"/>
      <c r="N20" s="189"/>
      <c r="O20" s="189"/>
    </row>
    <row r="21" spans="1:18" ht="12.5" x14ac:dyDescent="0.25">
      <c r="A21" s="86"/>
      <c r="B21" s="9" t="s">
        <v>16</v>
      </c>
      <c r="C21" s="6">
        <v>5.5</v>
      </c>
      <c r="D21" s="2"/>
      <c r="E21" s="92"/>
      <c r="F21" s="92"/>
      <c r="G21" s="92"/>
      <c r="H21" s="92"/>
      <c r="I21" s="92"/>
      <c r="K21" s="189"/>
      <c r="L21" s="189"/>
      <c r="M21" s="189"/>
      <c r="N21" s="189"/>
      <c r="O21" s="189"/>
    </row>
    <row r="22" spans="1:18" ht="12.5" x14ac:dyDescent="0.25">
      <c r="A22" s="86"/>
      <c r="B22" s="9" t="s">
        <v>17</v>
      </c>
      <c r="C22" s="6">
        <v>4</v>
      </c>
      <c r="D22" s="2"/>
      <c r="E22" s="92"/>
      <c r="F22" s="92"/>
      <c r="G22" s="92"/>
      <c r="H22" s="92"/>
      <c r="I22" s="92"/>
      <c r="K22" s="189"/>
      <c r="L22" s="189"/>
      <c r="M22" s="189"/>
      <c r="N22" s="189"/>
      <c r="O22" s="189"/>
    </row>
    <row r="23" spans="1:18" ht="12.75" customHeight="1" x14ac:dyDescent="0.25">
      <c r="A23" s="86"/>
      <c r="B23" s="9" t="s">
        <v>19</v>
      </c>
      <c r="C23" s="6">
        <v>5.5</v>
      </c>
      <c r="D23" s="2"/>
      <c r="E23" s="92"/>
      <c r="F23" s="92"/>
      <c r="G23" s="92"/>
      <c r="H23" s="92"/>
      <c r="I23" s="92"/>
      <c r="K23" s="189"/>
      <c r="L23" s="189"/>
      <c r="M23" s="189"/>
      <c r="N23" s="189"/>
      <c r="O23" s="189"/>
    </row>
    <row r="24" spans="1:18" ht="12.5" x14ac:dyDescent="0.25">
      <c r="A24" s="86"/>
      <c r="B24" s="9" t="s">
        <v>20</v>
      </c>
      <c r="C24" s="6">
        <v>5.5</v>
      </c>
      <c r="D24" s="2"/>
      <c r="E24" s="92"/>
      <c r="F24" s="92"/>
      <c r="G24" s="92"/>
      <c r="H24" s="92"/>
      <c r="I24" s="92"/>
      <c r="K24" s="44"/>
      <c r="L24" s="44"/>
      <c r="M24" s="44"/>
      <c r="N24" s="44"/>
      <c r="O24" s="44"/>
    </row>
    <row r="25" spans="1:18" ht="12.5" x14ac:dyDescent="0.25">
      <c r="A25" s="86"/>
      <c r="B25" s="13" t="s">
        <v>21</v>
      </c>
      <c r="C25" s="149">
        <f>SUM(C20:C24)</f>
        <v>26</v>
      </c>
      <c r="D25" s="149">
        <f>SUM(D20:D24)</f>
        <v>0</v>
      </c>
      <c r="E25" s="149"/>
      <c r="F25" s="149"/>
      <c r="G25" s="13"/>
      <c r="H25" s="13"/>
      <c r="I25" s="13"/>
      <c r="K25" s="189" t="s">
        <v>109</v>
      </c>
      <c r="L25" s="189"/>
      <c r="M25" s="189"/>
      <c r="N25" s="189"/>
      <c r="O25" s="189"/>
      <c r="Q25" s="166">
        <f ca="1">YEAR(NOW())-YEAR(C34)</f>
        <v>123</v>
      </c>
      <c r="R25">
        <f ca="1">YEAR(NOW())</f>
        <v>2023</v>
      </c>
    </row>
    <row r="26" spans="1:18" ht="12.75" customHeight="1" x14ac:dyDescent="0.25">
      <c r="A26" s="13"/>
      <c r="B26" s="13"/>
      <c r="C26" s="13"/>
      <c r="D26" s="9"/>
      <c r="E26" s="13"/>
      <c r="F26" s="13"/>
      <c r="G26" s="13"/>
      <c r="H26" s="13"/>
      <c r="I26" s="13"/>
      <c r="K26" s="189"/>
      <c r="L26" s="189"/>
      <c r="M26" s="189"/>
      <c r="N26" s="189"/>
      <c r="O26" s="189"/>
      <c r="Q26" s="45">
        <v>21459</v>
      </c>
      <c r="R26" s="160">
        <f ca="1">DATE((R25-57),MONTH(C34),DAY(C34))</f>
        <v>24107</v>
      </c>
    </row>
    <row r="27" spans="1:18" ht="12.75" customHeight="1" x14ac:dyDescent="0.25">
      <c r="A27" s="34" t="s">
        <v>110</v>
      </c>
      <c r="B27" s="13"/>
      <c r="C27" s="13"/>
      <c r="D27" s="9"/>
      <c r="E27" s="13"/>
      <c r="F27" s="13"/>
      <c r="G27" s="13"/>
      <c r="H27" s="13"/>
      <c r="I27" s="13"/>
      <c r="K27" s="189"/>
      <c r="L27" s="189"/>
      <c r="M27" s="189"/>
      <c r="N27" s="189"/>
      <c r="O27" s="189"/>
      <c r="Q27" s="45"/>
      <c r="R27" s="12" t="str">
        <f>IF(C34="","",IF(C34&lt;=Q26,"Overgangsregeling 56+",IF(C34&lt;=R26,"Basis en bijzonder budget","")))</f>
        <v/>
      </c>
    </row>
    <row r="28" spans="1:18" ht="12.75" customHeight="1" x14ac:dyDescent="0.25">
      <c r="A28" s="29" t="s">
        <v>111</v>
      </c>
      <c r="B28" s="13"/>
      <c r="C28" s="13"/>
      <c r="D28" s="2"/>
      <c r="E28" s="181"/>
      <c r="F28" s="181"/>
      <c r="G28" s="46"/>
      <c r="H28" s="46"/>
      <c r="I28" s="46"/>
      <c r="K28" s="189"/>
      <c r="L28" s="189"/>
      <c r="M28" s="189"/>
      <c r="N28" s="189"/>
      <c r="O28" s="189"/>
      <c r="R28" s="12" t="str">
        <f>IF(C34="","",IF(C34&lt;=Q26,"Basis en bijzonder budget",IF(C34&lt;=R26,"Enkel basis budget","")))</f>
        <v/>
      </c>
    </row>
    <row r="29" spans="1:18" ht="13" thickBot="1" x14ac:dyDescent="0.3">
      <c r="A29" s="49"/>
      <c r="B29" s="49"/>
      <c r="C29" s="49"/>
      <c r="D29" s="50"/>
      <c r="E29" s="49"/>
      <c r="F29" s="49"/>
      <c r="G29" s="49"/>
      <c r="H29" s="49"/>
      <c r="I29" s="49"/>
      <c r="J29" s="51"/>
      <c r="K29" s="50"/>
      <c r="L29" s="50"/>
      <c r="M29" s="50"/>
      <c r="N29" s="50"/>
      <c r="O29" s="50"/>
      <c r="R29" s="12" t="str">
        <f>IF(C34="","",IF(C34&lt;=Q26,"Enkel basis budget",""))</f>
        <v/>
      </c>
    </row>
    <row r="30" spans="1:18" ht="12.5" x14ac:dyDescent="0.25">
      <c r="A30" s="13"/>
      <c r="B30" s="13"/>
      <c r="C30" s="13"/>
      <c r="D30" s="9"/>
      <c r="E30" s="13"/>
      <c r="F30" s="13"/>
      <c r="G30" s="13"/>
      <c r="H30" s="13"/>
      <c r="I30" s="13"/>
      <c r="J30" s="43"/>
    </row>
    <row r="31" spans="1:18" ht="12.75" customHeight="1" x14ac:dyDescent="0.25">
      <c r="A31" s="13" t="s">
        <v>28</v>
      </c>
      <c r="B31" s="13"/>
      <c r="C31" s="13"/>
      <c r="D31" s="9"/>
      <c r="E31" s="13"/>
      <c r="F31" s="13"/>
      <c r="G31" s="13"/>
      <c r="H31" s="13"/>
      <c r="I31" s="13"/>
      <c r="K31" s="172" t="s">
        <v>29</v>
      </c>
      <c r="L31" s="172"/>
      <c r="M31" s="172"/>
      <c r="N31" s="172"/>
      <c r="O31" s="172"/>
      <c r="Q31" s="12" t="s">
        <v>30</v>
      </c>
    </row>
    <row r="32" spans="1:18" ht="12.5" x14ac:dyDescent="0.25">
      <c r="A32" s="29" t="s">
        <v>31</v>
      </c>
      <c r="B32" s="13"/>
      <c r="C32" s="216"/>
      <c r="D32" s="217"/>
      <c r="E32" s="54" t="str">
        <f>IF(C32="ja","Aantal lesuren verlof per jaar","")</f>
        <v/>
      </c>
      <c r="G32" s="5"/>
      <c r="H32" s="5"/>
      <c r="I32" s="13"/>
      <c r="K32" s="172"/>
      <c r="L32" s="172"/>
      <c r="M32" s="172"/>
      <c r="N32" s="172"/>
      <c r="O32" s="172"/>
      <c r="Q32" s="12" t="s">
        <v>32</v>
      </c>
    </row>
    <row r="33" spans="1:20" ht="12.5" x14ac:dyDescent="0.25">
      <c r="A33" s="29" t="s">
        <v>33</v>
      </c>
      <c r="B33" s="13"/>
      <c r="C33" s="216"/>
      <c r="D33" s="217"/>
      <c r="E33" s="54" t="str">
        <f>IF(C33="Ja","Werktijdfactor verlof","")</f>
        <v/>
      </c>
      <c r="F33" s="9"/>
      <c r="G33" s="5"/>
      <c r="H33" s="5"/>
      <c r="I33" s="13"/>
      <c r="K33" s="146"/>
      <c r="L33" s="146"/>
      <c r="M33" s="146"/>
      <c r="N33" s="146"/>
      <c r="O33" s="146"/>
    </row>
    <row r="34" spans="1:20" ht="12.75" customHeight="1" x14ac:dyDescent="0.25">
      <c r="A34" s="29" t="s">
        <v>34</v>
      </c>
      <c r="B34" s="13"/>
      <c r="C34" s="210"/>
      <c r="D34" s="211"/>
      <c r="E34" s="218" t="str">
        <f>IF(C36&gt;0,"Verdeling uren verlof duurz. inz.",IF(G33&gt;0,"Verdeling uren ouderschapsverlof",""))</f>
        <v/>
      </c>
      <c r="F34" s="177"/>
      <c r="G34" s="177"/>
      <c r="H34" s="177"/>
      <c r="I34" s="177"/>
      <c r="J34" s="43"/>
      <c r="K34" s="178" t="s">
        <v>35</v>
      </c>
      <c r="L34" s="178"/>
      <c r="M34" s="178"/>
      <c r="N34" s="178"/>
      <c r="O34" s="178"/>
      <c r="Q34" s="56" t="s">
        <v>36</v>
      </c>
    </row>
    <row r="35" spans="1:20" ht="12.5" x14ac:dyDescent="0.25">
      <c r="A35" s="9" t="str">
        <f>IF($C$34="","",IF($C$34&lt;$Q$26,"Recht duurzame inzetbaarheid",IF($C$34&lt;=$R$26,"Recht duurzame inzetbaarheid","")))</f>
        <v/>
      </c>
      <c r="B35" s="13"/>
      <c r="C35" s="179"/>
      <c r="D35" s="179"/>
      <c r="E35" s="35" t="str">
        <f>IF(OR(C36&gt;0,G33&gt;0),"Lesuren","")</f>
        <v/>
      </c>
      <c r="F35" s="35" t="str">
        <f>IF(OR(C36&gt;0,G33&gt;0),"v/n-werk","")</f>
        <v/>
      </c>
      <c r="G35" s="35" t="str">
        <f>IF(OR(C36&gt;0,G33&gt;0),"Taakuren","")</f>
        <v/>
      </c>
      <c r="H35" s="35"/>
      <c r="I35" s="57"/>
      <c r="J35" s="43"/>
      <c r="K35" s="178"/>
      <c r="L35" s="178"/>
      <c r="M35" s="178"/>
      <c r="N35" s="178"/>
      <c r="O35" s="178"/>
      <c r="Q35" s="56" t="s">
        <v>37</v>
      </c>
      <c r="S35" s="105">
        <f>G33*1659</f>
        <v>0</v>
      </c>
      <c r="T35" s="105"/>
    </row>
    <row r="36" spans="1:20" ht="12.5" x14ac:dyDescent="0.25">
      <c r="A36" s="9" t="str">
        <f>IF(C35="","",IF(C35="Overgangsregeling 52+","Aantal uur verlof",IF(C35="Overgangsregeling 56+","Aantal uur verlof",IF(C35="Basis en bijzonder budget","Aantal uur verlof",""))))</f>
        <v/>
      </c>
      <c r="B36" s="13"/>
      <c r="C36" s="151"/>
      <c r="D36" s="57" t="str">
        <f>IF(C35="Overgangsregeling 56+",ROUND(170*D10,0)&amp;" - "&amp;ROUND(340*D10,0),IF(C35="Overgangsregeling 52+","0 - "&amp;ROUND(170*D10,0),IF(C35="Basis en bijzonder budget","0 - "&amp;ROUND(170*D10,0),"")))</f>
        <v/>
      </c>
      <c r="E36" s="35" t="str">
        <f>IFERROR(ROUND(IF(C36&gt;0,T55,IF(G33&gt;0,S35*S36,"")),0),"")</f>
        <v/>
      </c>
      <c r="F36" s="35" t="str">
        <f>IFERROR(ROUND(IF(C36&gt;0,T56,IF(G33&gt;0,S37*S35,"")),0),"")</f>
        <v/>
      </c>
      <c r="G36" s="35" t="str">
        <f>IFERROR(ROUND(IF(C36&gt;0,T57,IF(G33&gt;0,S40*S35,"")),0),"")</f>
        <v/>
      </c>
      <c r="H36" s="35"/>
      <c r="I36" s="57"/>
      <c r="J36" s="43"/>
      <c r="K36" s="150"/>
      <c r="L36" s="150"/>
      <c r="M36" s="150"/>
      <c r="N36" s="150"/>
      <c r="O36" s="150"/>
      <c r="Q36" s="104">
        <f>ROUND(D25*C15+D28-G32,0)</f>
        <v>0</v>
      </c>
      <c r="R36" s="105"/>
      <c r="S36" s="106" t="e">
        <f>Q36/SUM($Q$36:$Q$40)</f>
        <v>#DIV/0!</v>
      </c>
      <c r="T36" s="105" t="e">
        <f>S36*$S$35</f>
        <v>#DIV/0!</v>
      </c>
    </row>
    <row r="37" spans="1:20" ht="13" thickBot="1" x14ac:dyDescent="0.3">
      <c r="A37" s="49"/>
      <c r="B37" s="49"/>
      <c r="C37" s="213" t="str">
        <f>IF(G33&gt;0,"Professionalisering","")</f>
        <v/>
      </c>
      <c r="D37" s="213"/>
      <c r="E37" s="109" t="str">
        <f>IFERROR(ROUND(IF(G33&gt;0,S38*S35,""),0),"")</f>
        <v/>
      </c>
      <c r="F37" s="108" t="str">
        <f>IF(G33&gt;0,"Duurz. inzetb.","")</f>
        <v/>
      </c>
      <c r="G37" s="109" t="str">
        <f>IFERROR(ROUND(IF(G33&gt;0,S39*S35,""),0),"")</f>
        <v/>
      </c>
      <c r="H37" s="109"/>
      <c r="I37" s="49"/>
      <c r="J37" s="51"/>
      <c r="K37" s="49"/>
      <c r="L37" s="49"/>
      <c r="M37" s="49"/>
      <c r="N37" s="49"/>
      <c r="O37" s="49"/>
      <c r="P37" s="13"/>
      <c r="Q37" s="105">
        <f>ROUND(R55*F15,0)</f>
        <v>0</v>
      </c>
      <c r="R37" s="104">
        <f>Q36+Q37</f>
        <v>0</v>
      </c>
      <c r="S37" s="106" t="e">
        <f t="shared" ref="S37:S40" si="0">Q37/SUM($Q$36:$Q$40)</f>
        <v>#DIV/0!</v>
      </c>
      <c r="T37" s="105" t="e">
        <f t="shared" ref="T37:T40" si="1">S37*$S$35</f>
        <v>#DIV/0!</v>
      </c>
    </row>
    <row r="38" spans="1:20" ht="12.5" x14ac:dyDescent="0.25">
      <c r="A38" s="29"/>
      <c r="B38" s="13"/>
      <c r="C38" s="13"/>
      <c r="D38" s="9"/>
      <c r="E38" s="13"/>
      <c r="F38" s="13"/>
      <c r="G38" s="13"/>
      <c r="H38" s="13"/>
      <c r="I38" s="13"/>
      <c r="J38" s="43"/>
      <c r="K38" s="13"/>
      <c r="L38" s="13"/>
      <c r="M38" s="13"/>
      <c r="N38" s="13"/>
      <c r="O38" s="13"/>
      <c r="P38" s="13"/>
      <c r="Q38" s="104">
        <f>ROUND(D10*2*41.475,0)</f>
        <v>0</v>
      </c>
      <c r="R38" s="105"/>
      <c r="S38" s="106" t="e">
        <f t="shared" si="0"/>
        <v>#DIV/0!</v>
      </c>
      <c r="T38" s="105" t="e">
        <f t="shared" si="1"/>
        <v>#DIV/0!</v>
      </c>
    </row>
    <row r="39" spans="1:20" ht="12.5" x14ac:dyDescent="0.25">
      <c r="A39" s="13" t="s">
        <v>112</v>
      </c>
      <c r="B39" s="13"/>
      <c r="C39" s="13"/>
      <c r="D39" s="9"/>
      <c r="E39" s="13"/>
      <c r="F39" s="13"/>
      <c r="G39" s="13"/>
      <c r="H39" s="13"/>
      <c r="I39" s="13"/>
      <c r="J39" s="43"/>
      <c r="K39" s="167" t="s">
        <v>40</v>
      </c>
      <c r="L39" s="167"/>
      <c r="M39" s="167"/>
      <c r="N39" s="167"/>
      <c r="O39" s="167"/>
      <c r="P39" s="13"/>
      <c r="Q39" s="104">
        <f>ROUND(IF(A36="",ROUND(D10*40,0),ROUND(VLOOKUP(C35,$Q$49:$R$53,2,FALSE)*D10,0))-C36,0)</f>
        <v>0</v>
      </c>
      <c r="R39" s="105"/>
      <c r="S39" s="106" t="e">
        <f t="shared" si="0"/>
        <v>#DIV/0!</v>
      </c>
      <c r="T39" s="105" t="e">
        <f t="shared" si="1"/>
        <v>#DIV/0!</v>
      </c>
    </row>
    <row r="40" spans="1:20" ht="12.5" x14ac:dyDescent="0.25">
      <c r="A40" s="151" t="s">
        <v>39</v>
      </c>
      <c r="B40" s="13"/>
      <c r="C40" s="22"/>
      <c r="D40" s="9"/>
      <c r="E40" s="13"/>
      <c r="F40" s="13"/>
      <c r="G40" s="13"/>
      <c r="H40" s="13"/>
      <c r="I40" s="13"/>
      <c r="J40" s="43"/>
      <c r="K40" s="167"/>
      <c r="L40" s="167"/>
      <c r="M40" s="167"/>
      <c r="N40" s="167"/>
      <c r="O40" s="167"/>
      <c r="P40" s="13"/>
      <c r="Q40" s="105">
        <f>IFERROR(ROUND(R57-SUM(C56:C131),0),0)</f>
        <v>0</v>
      </c>
      <c r="R40" s="105"/>
      <c r="S40" s="106" t="e">
        <f t="shared" si="0"/>
        <v>#DIV/0!</v>
      </c>
      <c r="T40" s="105" t="e">
        <f t="shared" si="1"/>
        <v>#DIV/0!</v>
      </c>
    </row>
    <row r="41" spans="1:20" ht="12.5" x14ac:dyDescent="0.25">
      <c r="A41" s="151" t="s">
        <v>41</v>
      </c>
      <c r="B41" s="13"/>
      <c r="C41" s="22"/>
      <c r="D41" s="9"/>
      <c r="E41" s="13"/>
      <c r="F41" s="13"/>
      <c r="G41" s="13"/>
      <c r="H41" s="13"/>
      <c r="I41" s="13"/>
      <c r="J41" s="43"/>
      <c r="K41" s="167"/>
      <c r="L41" s="167"/>
      <c r="M41" s="167"/>
      <c r="N41" s="167"/>
      <c r="O41" s="167"/>
      <c r="P41" s="13"/>
      <c r="Q41" s="13"/>
      <c r="S41" s="56"/>
    </row>
    <row r="42" spans="1:20" ht="12.5" x14ac:dyDescent="0.25">
      <c r="A42" s="151" t="s">
        <v>42</v>
      </c>
      <c r="B42" s="13"/>
      <c r="C42" s="22"/>
      <c r="D42" s="9"/>
      <c r="E42" s="13"/>
      <c r="F42" s="13"/>
      <c r="G42" s="13"/>
      <c r="H42" s="13"/>
      <c r="I42" s="13"/>
      <c r="J42" s="43"/>
      <c r="K42" s="167"/>
      <c r="L42" s="167"/>
      <c r="M42" s="167"/>
      <c r="N42" s="167"/>
      <c r="O42" s="167"/>
      <c r="P42" s="13"/>
      <c r="Q42" s="13"/>
      <c r="S42" s="56"/>
    </row>
    <row r="43" spans="1:20" ht="12.5" x14ac:dyDescent="0.25">
      <c r="A43" s="151" t="s">
        <v>43</v>
      </c>
      <c r="B43" s="13"/>
      <c r="C43" s="22"/>
      <c r="D43" s="9"/>
      <c r="E43" s="13"/>
      <c r="F43" s="13"/>
      <c r="G43" s="13"/>
      <c r="H43" s="13"/>
      <c r="I43" s="13"/>
      <c r="J43" s="43"/>
      <c r="K43" s="43"/>
      <c r="L43" s="43"/>
      <c r="M43" s="43"/>
      <c r="N43" s="43"/>
      <c r="O43" s="43"/>
      <c r="P43" s="13"/>
      <c r="Q43" s="13"/>
      <c r="S43" s="56"/>
    </row>
    <row r="44" spans="1:20" ht="12.5" x14ac:dyDescent="0.25">
      <c r="A44" s="13" t="s">
        <v>21</v>
      </c>
      <c r="B44" s="13"/>
      <c r="C44" s="60">
        <f>SUM(C40:C43)</f>
        <v>0</v>
      </c>
      <c r="D44" s="9"/>
      <c r="E44" s="13"/>
      <c r="F44" s="13"/>
      <c r="G44" s="13"/>
      <c r="H44" s="13"/>
      <c r="I44" s="13"/>
      <c r="J44" s="43"/>
      <c r="K44" s="43"/>
      <c r="L44" s="43"/>
      <c r="M44" s="43"/>
      <c r="N44" s="43"/>
      <c r="O44" s="43"/>
      <c r="P44" s="13"/>
      <c r="Q44" s="13"/>
      <c r="S44" s="56"/>
    </row>
    <row r="45" spans="1:20" ht="13" thickBot="1" x14ac:dyDescent="0.3">
      <c r="A45" s="61"/>
      <c r="B45" s="62"/>
      <c r="C45" s="62"/>
      <c r="D45" s="63"/>
      <c r="E45" s="62"/>
      <c r="F45" s="62"/>
      <c r="G45" s="62"/>
      <c r="H45" s="13"/>
      <c r="I45" s="13"/>
      <c r="J45" s="43"/>
      <c r="K45" s="43"/>
      <c r="L45" s="43"/>
      <c r="M45" s="43"/>
      <c r="N45" s="43"/>
      <c r="O45" s="43"/>
      <c r="P45" s="13"/>
      <c r="Q45" s="13"/>
      <c r="S45" s="56"/>
    </row>
    <row r="46" spans="1:20" ht="12.5" x14ac:dyDescent="0.25">
      <c r="A46" s="13"/>
      <c r="B46" s="13"/>
      <c r="C46" s="13"/>
      <c r="D46" s="9"/>
      <c r="E46" s="13"/>
      <c r="F46" s="13"/>
      <c r="G46" s="18"/>
      <c r="H46" s="18"/>
      <c r="I46" s="18"/>
      <c r="K46" s="21"/>
      <c r="L46" s="21"/>
      <c r="M46" s="21"/>
      <c r="N46" s="21"/>
      <c r="O46" s="21"/>
      <c r="Q46" s="12" t="str">
        <f>IF(C35="Overgangsregeling 56+",ROUND(340*LEFT(G28,2)/40,0),IF(C35="Overgangsregeling 52+",ROUND(170*LEFT(G28,2)/40,0),IF(C35="Basis en bijzonder budget",ROUND(170*LEFT(G28,2)/40,0),"")))</f>
        <v/>
      </c>
    </row>
    <row r="47" spans="1:20" ht="12.5" x14ac:dyDescent="0.25">
      <c r="A47" s="18" t="s">
        <v>44</v>
      </c>
      <c r="B47" s="13"/>
      <c r="C47" s="13"/>
      <c r="D47" s="9"/>
      <c r="E47" s="13"/>
      <c r="F47" s="13"/>
      <c r="G47" s="18"/>
      <c r="H47" s="18"/>
      <c r="I47" s="18"/>
      <c r="K47" s="21"/>
      <c r="L47" s="21"/>
      <c r="M47" s="21"/>
      <c r="N47" s="21"/>
      <c r="O47" s="21"/>
    </row>
    <row r="48" spans="1:20" ht="12.5" x14ac:dyDescent="0.25">
      <c r="A48" s="18"/>
      <c r="B48" s="13"/>
      <c r="C48" s="13"/>
      <c r="D48" s="9"/>
      <c r="E48" s="13"/>
      <c r="F48" s="18"/>
      <c r="G48" s="18"/>
      <c r="H48" s="18"/>
      <c r="I48" s="18"/>
      <c r="K48" s="21"/>
      <c r="L48" s="21"/>
      <c r="M48" s="21"/>
      <c r="N48" s="21"/>
      <c r="O48" s="21"/>
    </row>
    <row r="49" spans="1:21" ht="12.5" x14ac:dyDescent="0.25">
      <c r="A49" s="18" t="s">
        <v>45</v>
      </c>
      <c r="B49" s="9"/>
      <c r="C49" s="13"/>
      <c r="D49" s="13"/>
      <c r="E49" s="65" t="s">
        <v>46</v>
      </c>
      <c r="F49" s="13"/>
      <c r="G49" s="18"/>
      <c r="H49" s="18"/>
      <c r="I49" s="18"/>
      <c r="K49" s="21"/>
      <c r="L49" s="21"/>
      <c r="M49" s="21"/>
      <c r="N49" s="21"/>
      <c r="O49" s="21"/>
      <c r="Q49" s="12" t="s">
        <v>47</v>
      </c>
      <c r="R49" s="12">
        <v>170</v>
      </c>
    </row>
    <row r="50" spans="1:21" ht="12.5" x14ac:dyDescent="0.25">
      <c r="A50" s="66" t="s">
        <v>48</v>
      </c>
      <c r="C50" s="67">
        <f>IFERROR(ROUND(IF(G33&gt;0,R55-T36,R55-G52/SUM(R55:R57)*R55),0),0)</f>
        <v>0</v>
      </c>
      <c r="D50" s="67"/>
      <c r="E50" s="66" t="s">
        <v>49</v>
      </c>
      <c r="F50" s="18"/>
      <c r="G50" s="69">
        <f>IFERROR(ROUND(D10*2*41.475-T38,0),0)</f>
        <v>0</v>
      </c>
      <c r="H50" s="69"/>
      <c r="I50" s="69"/>
      <c r="K50" s="21"/>
      <c r="L50" s="21"/>
      <c r="M50" s="21"/>
      <c r="N50" s="21"/>
      <c r="O50" s="21"/>
      <c r="Q50" s="12" t="s">
        <v>50</v>
      </c>
      <c r="R50" s="12">
        <v>340</v>
      </c>
    </row>
    <row r="51" spans="1:21" ht="12.5" x14ac:dyDescent="0.25">
      <c r="A51" s="66" t="s">
        <v>51</v>
      </c>
      <c r="B51" s="66"/>
      <c r="C51" s="67">
        <f>IFERROR(ROUND(IF(G33&gt;0,R56-T37,R56-G52/SUM(R55:R57)*R56),0),0)</f>
        <v>0</v>
      </c>
      <c r="D51" s="67"/>
      <c r="E51" s="66" t="s">
        <v>52</v>
      </c>
      <c r="F51" s="18"/>
      <c r="G51" s="69">
        <f>IFERROR(ROUND(IF(A36="",ROUND(D10*40,0),ROUND(VLOOKUP(C35,$Q$49:$R$53,2,FALSE)*D10,0))-C36-T39,0),0)</f>
        <v>0</v>
      </c>
      <c r="H51" s="69"/>
      <c r="I51" s="69"/>
      <c r="K51" s="21"/>
      <c r="L51" s="21"/>
      <c r="M51" s="21"/>
      <c r="N51" s="21"/>
      <c r="O51" s="21"/>
      <c r="Q51" s="12" t="s">
        <v>53</v>
      </c>
      <c r="R51" s="12">
        <v>170</v>
      </c>
    </row>
    <row r="52" spans="1:21" ht="13" thickBot="1" x14ac:dyDescent="0.3">
      <c r="A52" s="66" t="s">
        <v>54</v>
      </c>
      <c r="B52" s="66"/>
      <c r="C52" s="93">
        <f>C44</f>
        <v>0</v>
      </c>
      <c r="D52" s="67"/>
      <c r="E52" s="9" t="str">
        <f>IF(C36&gt;0,"Verlof duurzame inzetbaarheid",IF(G33&gt;0,"Ouderschapsverlof",""))</f>
        <v/>
      </c>
      <c r="F52" s="18"/>
      <c r="G52" s="69">
        <f>ROUND(IF(E52="",0,IF(C36&gt;0,C36,S35)),0)</f>
        <v>0</v>
      </c>
      <c r="H52" s="69"/>
      <c r="I52" s="69"/>
      <c r="K52" s="21"/>
      <c r="L52" s="21"/>
      <c r="M52" s="21"/>
      <c r="N52" s="21"/>
      <c r="O52" s="21"/>
    </row>
    <row r="53" spans="1:21" ht="13" thickBot="1" x14ac:dyDescent="0.3">
      <c r="A53" s="74" t="s">
        <v>55</v>
      </c>
      <c r="B53" s="74"/>
      <c r="C53" s="75">
        <f>SUM(C50:C52)</f>
        <v>0</v>
      </c>
      <c r="D53" s="16"/>
      <c r="E53" s="13" t="s">
        <v>21</v>
      </c>
      <c r="F53" s="18"/>
      <c r="G53" s="76">
        <f>SUM(G50:G52)</f>
        <v>0</v>
      </c>
      <c r="H53" s="77"/>
      <c r="I53" s="77"/>
      <c r="K53" s="21"/>
      <c r="L53" s="21"/>
      <c r="M53" s="21"/>
      <c r="N53" s="21"/>
      <c r="O53" s="21"/>
      <c r="Q53" s="56" t="s">
        <v>56</v>
      </c>
      <c r="R53" s="56">
        <v>40</v>
      </c>
    </row>
    <row r="54" spans="1:21" ht="12.5" x14ac:dyDescent="0.25">
      <c r="A54" s="149"/>
      <c r="B54" s="13"/>
      <c r="C54" s="16"/>
      <c r="D54" s="13"/>
      <c r="E54" s="18"/>
      <c r="F54" s="18"/>
      <c r="G54" s="18"/>
      <c r="H54" s="18"/>
      <c r="I54" s="18"/>
      <c r="K54" s="21"/>
      <c r="L54" s="21"/>
      <c r="M54" s="21"/>
      <c r="N54" s="21"/>
      <c r="O54" s="21"/>
    </row>
    <row r="55" spans="1:21" ht="12.75" customHeight="1" x14ac:dyDescent="0.25">
      <c r="A55" s="33" t="s">
        <v>57</v>
      </c>
      <c r="C55" s="74"/>
      <c r="D55" s="16"/>
      <c r="E55" s="168" t="str">
        <f>IF(C132&lt;0,"LET OP:","")</f>
        <v/>
      </c>
      <c r="F55" s="168"/>
      <c r="G55" s="168"/>
      <c r="H55" s="168"/>
      <c r="I55" s="168"/>
      <c r="K55" s="21"/>
      <c r="L55" s="21"/>
      <c r="M55" s="21"/>
      <c r="N55" s="21"/>
      <c r="O55" s="21"/>
      <c r="Q55" s="66" t="s">
        <v>48</v>
      </c>
      <c r="R55" s="78">
        <f>ROUND(D25*C15+D28-G32,0)</f>
        <v>0</v>
      </c>
      <c r="T55" s="78">
        <f>R55-C50</f>
        <v>0</v>
      </c>
      <c r="U55" s="12" t="e">
        <f>R55/SUM($T$55:$T$57)</f>
        <v>#DIV/0!</v>
      </c>
    </row>
    <row r="56" spans="1:21" ht="12.75" customHeight="1" x14ac:dyDescent="0.25">
      <c r="A56" s="7" t="s">
        <v>59</v>
      </c>
      <c r="B56" s="9"/>
      <c r="C56" s="15"/>
      <c r="E56" s="214" t="str">
        <f>IF(C132&lt;0,"Het is niet mogelijk de ingevulde werkzaamheden binnen de aangegeven werktijdfactor te voldoen.","")</f>
        <v/>
      </c>
      <c r="F56" s="214"/>
      <c r="G56" s="214"/>
      <c r="H56" s="214"/>
      <c r="I56" s="214"/>
      <c r="K56" s="215" t="s">
        <v>113</v>
      </c>
      <c r="L56" s="215"/>
      <c r="M56" s="215"/>
      <c r="N56" s="215"/>
      <c r="O56" s="215"/>
      <c r="Q56" s="66" t="s">
        <v>51</v>
      </c>
      <c r="R56" s="12">
        <f>ROUND(R55*F15,0)</f>
        <v>0</v>
      </c>
      <c r="S56" s="78">
        <f>R55+R56</f>
        <v>0</v>
      </c>
      <c r="T56" s="78">
        <f>R56-C51</f>
        <v>0</v>
      </c>
      <c r="U56" s="12" t="e">
        <f t="shared" ref="U56:U57" si="2">R56/SUM($T$55:$T$57)</f>
        <v>#DIV/0!</v>
      </c>
    </row>
    <row r="57" spans="1:21" ht="12.75" customHeight="1" x14ac:dyDescent="0.25">
      <c r="A57" s="24" t="s">
        <v>60</v>
      </c>
      <c r="B57" s="9"/>
      <c r="C57" s="15"/>
      <c r="D57" s="141"/>
      <c r="E57" s="214"/>
      <c r="F57" s="214"/>
      <c r="G57" s="214"/>
      <c r="H57" s="214"/>
      <c r="I57" s="214"/>
      <c r="K57" s="215"/>
      <c r="L57" s="215"/>
      <c r="M57" s="215"/>
      <c r="N57" s="215"/>
      <c r="O57" s="215"/>
      <c r="Q57" s="56" t="s">
        <v>114</v>
      </c>
      <c r="R57" s="12">
        <f>ROUND(1659*D10-S56-ROUND(IF(A35="",ROUND(D10*40,0),ROUND(VLOOKUP(C35,$Q$49:$R$53,2,FALSE)*D10,0))-C36,0)-ROUND(D10*2*41.475,0)-C44,0)</f>
        <v>0</v>
      </c>
      <c r="T57" s="78">
        <f>+R57-C133</f>
        <v>0</v>
      </c>
      <c r="U57" s="12" t="e">
        <f t="shared" si="2"/>
        <v>#DIV/0!</v>
      </c>
    </row>
    <row r="58" spans="1:21" ht="12.75" customHeight="1" x14ac:dyDescent="0.25">
      <c r="A58" s="24" t="s">
        <v>61</v>
      </c>
      <c r="B58" s="9"/>
      <c r="C58" s="15"/>
      <c r="D58" s="142"/>
      <c r="E58" s="171" t="s">
        <v>63</v>
      </c>
      <c r="F58" s="171"/>
      <c r="G58" s="171"/>
      <c r="H58" s="171"/>
      <c r="I58" s="171"/>
      <c r="K58" s="215"/>
      <c r="L58" s="215"/>
      <c r="M58" s="215"/>
      <c r="N58" s="215"/>
      <c r="O58" s="215"/>
    </row>
    <row r="59" spans="1:21" ht="12.5" x14ac:dyDescent="0.25">
      <c r="A59" s="24" t="s">
        <v>115</v>
      </c>
      <c r="B59" s="9"/>
      <c r="C59" s="15"/>
      <c r="D59" s="154"/>
      <c r="E59" s="143" t="s">
        <v>49</v>
      </c>
      <c r="F59" s="133"/>
      <c r="G59" s="135"/>
      <c r="H59" s="135"/>
      <c r="I59" s="135" t="s">
        <v>52</v>
      </c>
      <c r="K59" s="215"/>
      <c r="L59" s="215"/>
      <c r="M59" s="215"/>
      <c r="N59" s="215"/>
      <c r="O59" s="215"/>
      <c r="R59" s="12">
        <f>1659*D10</f>
        <v>0</v>
      </c>
    </row>
    <row r="60" spans="1:21" ht="12.5" x14ac:dyDescent="0.25">
      <c r="A60" s="24" t="s">
        <v>64</v>
      </c>
      <c r="B60" s="9"/>
      <c r="C60" s="15"/>
      <c r="D60" s="16"/>
      <c r="E60" s="136" t="s">
        <v>61</v>
      </c>
      <c r="F60" s="15">
        <v>83</v>
      </c>
      <c r="G60" s="9"/>
      <c r="H60" s="144" t="s">
        <v>65</v>
      </c>
      <c r="I60" s="15">
        <v>30</v>
      </c>
      <c r="K60" s="215"/>
      <c r="L60" s="215"/>
      <c r="M60" s="215"/>
      <c r="N60" s="215"/>
      <c r="O60" s="215"/>
    </row>
    <row r="61" spans="1:21" ht="12.5" x14ac:dyDescent="0.25">
      <c r="A61" s="151" t="s">
        <v>64</v>
      </c>
      <c r="B61" s="9"/>
      <c r="C61" s="15"/>
      <c r="E61" s="136" t="s">
        <v>66</v>
      </c>
      <c r="F61" s="15"/>
      <c r="G61" s="9"/>
      <c r="H61" s="144" t="s">
        <v>67</v>
      </c>
      <c r="I61" s="15"/>
      <c r="K61" s="215"/>
      <c r="L61" s="215"/>
      <c r="M61" s="215"/>
      <c r="N61" s="215"/>
      <c r="O61" s="215"/>
      <c r="R61" s="12">
        <f>IFERROR(IF(G33&gt;0,ROUND(R57-T40,0),ROUND(R57-G52/SUM(R55:R57)*R57,0)),0)</f>
        <v>0</v>
      </c>
    </row>
    <row r="62" spans="1:21" ht="12.5" x14ac:dyDescent="0.25">
      <c r="A62" s="151" t="s">
        <v>64</v>
      </c>
      <c r="B62" s="9"/>
      <c r="C62" s="15"/>
      <c r="D62" s="9"/>
      <c r="E62" s="138" t="s">
        <v>64</v>
      </c>
      <c r="F62" s="15"/>
      <c r="G62" s="9"/>
      <c r="H62" s="144" t="s">
        <v>68</v>
      </c>
      <c r="I62" s="15"/>
      <c r="K62" s="21"/>
      <c r="L62" s="21"/>
      <c r="M62" s="21"/>
      <c r="N62" s="21"/>
      <c r="O62" s="21"/>
    </row>
    <row r="63" spans="1:21" ht="12.5" x14ac:dyDescent="0.25">
      <c r="A63" s="151" t="s">
        <v>64</v>
      </c>
      <c r="B63" s="9"/>
      <c r="C63" s="15"/>
      <c r="D63" s="9"/>
      <c r="E63" s="138" t="s">
        <v>64</v>
      </c>
      <c r="F63" s="15"/>
      <c r="G63" s="9"/>
      <c r="H63" s="138" t="s">
        <v>64</v>
      </c>
      <c r="I63" s="15"/>
      <c r="K63" s="21"/>
      <c r="L63" s="21"/>
      <c r="M63" s="21"/>
      <c r="N63" s="21"/>
      <c r="O63" s="21"/>
    </row>
    <row r="64" spans="1:21" ht="12.5" x14ac:dyDescent="0.25">
      <c r="A64" s="151" t="s">
        <v>64</v>
      </c>
      <c r="B64" s="9"/>
      <c r="C64" s="15"/>
      <c r="D64" s="9"/>
      <c r="E64" s="138" t="s">
        <v>64</v>
      </c>
      <c r="F64" s="15"/>
      <c r="G64" s="9"/>
      <c r="H64" s="138" t="s">
        <v>64</v>
      </c>
      <c r="I64" s="15"/>
      <c r="K64" s="21"/>
      <c r="L64" s="21"/>
      <c r="M64" s="21"/>
      <c r="N64" s="21"/>
      <c r="O64" s="21"/>
    </row>
    <row r="65" spans="1:15" ht="12.5" x14ac:dyDescent="0.25">
      <c r="A65" s="151" t="s">
        <v>64</v>
      </c>
      <c r="B65" s="9"/>
      <c r="C65" s="15"/>
      <c r="D65" s="9"/>
      <c r="E65" s="138" t="s">
        <v>64</v>
      </c>
      <c r="F65" s="15"/>
      <c r="G65" s="9"/>
      <c r="H65" s="138" t="s">
        <v>64</v>
      </c>
      <c r="I65" s="15"/>
      <c r="K65" s="21"/>
      <c r="L65" s="21"/>
      <c r="M65" s="21"/>
      <c r="N65" s="21"/>
      <c r="O65" s="21"/>
    </row>
    <row r="66" spans="1:15" ht="12.5" x14ac:dyDescent="0.25">
      <c r="A66" s="151" t="s">
        <v>64</v>
      </c>
      <c r="B66" s="9"/>
      <c r="C66" s="15"/>
      <c r="D66" s="9"/>
      <c r="E66" s="138" t="s">
        <v>64</v>
      </c>
      <c r="F66" s="15"/>
      <c r="G66" s="9"/>
      <c r="H66" s="138" t="s">
        <v>64</v>
      </c>
      <c r="I66" s="15"/>
      <c r="K66" s="21"/>
      <c r="L66" s="21"/>
      <c r="M66" s="21"/>
      <c r="N66" s="21"/>
      <c r="O66" s="21"/>
    </row>
    <row r="67" spans="1:15" ht="12.5" hidden="1" x14ac:dyDescent="0.25">
      <c r="A67" s="151" t="s">
        <v>64</v>
      </c>
      <c r="B67" s="9"/>
      <c r="C67" s="15"/>
      <c r="D67" s="9"/>
      <c r="E67" s="138" t="s">
        <v>64</v>
      </c>
      <c r="F67" s="15"/>
      <c r="G67" s="9"/>
      <c r="H67" s="138" t="s">
        <v>64</v>
      </c>
      <c r="I67" s="15"/>
      <c r="K67" s="21"/>
      <c r="L67" s="21"/>
      <c r="M67" s="21"/>
      <c r="N67" s="21"/>
      <c r="O67" s="21"/>
    </row>
    <row r="68" spans="1:15" ht="12.5" hidden="1" x14ac:dyDescent="0.25">
      <c r="A68" s="151" t="s">
        <v>64</v>
      </c>
      <c r="B68" s="9"/>
      <c r="C68" s="15"/>
      <c r="D68" s="9"/>
      <c r="E68" s="138" t="s">
        <v>64</v>
      </c>
      <c r="F68" s="15"/>
      <c r="G68" s="9"/>
      <c r="H68" s="138" t="s">
        <v>64</v>
      </c>
      <c r="I68" s="15"/>
      <c r="K68" s="21"/>
      <c r="L68" s="21"/>
      <c r="M68" s="21"/>
      <c r="N68" s="21"/>
      <c r="O68" s="21"/>
    </row>
    <row r="69" spans="1:15" ht="12.5" hidden="1" x14ac:dyDescent="0.25">
      <c r="A69" s="151" t="s">
        <v>64</v>
      </c>
      <c r="B69" s="9"/>
      <c r="C69" s="15"/>
      <c r="D69" s="9"/>
      <c r="E69" s="138" t="s">
        <v>64</v>
      </c>
      <c r="F69" s="15"/>
      <c r="G69" s="9"/>
      <c r="H69" s="138" t="s">
        <v>64</v>
      </c>
      <c r="I69" s="15"/>
      <c r="K69" s="21"/>
      <c r="L69" s="21"/>
      <c r="M69" s="21"/>
      <c r="N69" s="21"/>
      <c r="O69" s="21"/>
    </row>
    <row r="70" spans="1:15" ht="12.5" hidden="1" x14ac:dyDescent="0.25">
      <c r="A70" s="151" t="s">
        <v>64</v>
      </c>
      <c r="B70" s="9"/>
      <c r="C70" s="15"/>
      <c r="D70" s="9"/>
      <c r="E70" s="138" t="s">
        <v>64</v>
      </c>
      <c r="F70" s="15"/>
      <c r="G70" s="9"/>
      <c r="H70" s="138" t="s">
        <v>64</v>
      </c>
      <c r="I70" s="15"/>
      <c r="K70" s="21"/>
      <c r="L70" s="21"/>
      <c r="M70" s="21"/>
      <c r="N70" s="21"/>
      <c r="O70" s="21"/>
    </row>
    <row r="71" spans="1:15" ht="12.5" hidden="1" x14ac:dyDescent="0.25">
      <c r="A71" s="151" t="s">
        <v>64</v>
      </c>
      <c r="B71" s="9"/>
      <c r="C71" s="15"/>
      <c r="D71" s="9"/>
      <c r="E71" s="138" t="s">
        <v>64</v>
      </c>
      <c r="F71" s="15"/>
      <c r="G71" s="9"/>
      <c r="H71" s="138" t="s">
        <v>64</v>
      </c>
      <c r="I71" s="15"/>
      <c r="K71" s="21"/>
      <c r="L71" s="21"/>
      <c r="M71" s="21"/>
      <c r="N71" s="21"/>
      <c r="O71" s="21"/>
    </row>
    <row r="72" spans="1:15" ht="12.5" hidden="1" x14ac:dyDescent="0.25">
      <c r="A72" s="151" t="s">
        <v>64</v>
      </c>
      <c r="B72" s="9"/>
      <c r="C72" s="15"/>
      <c r="D72" s="9"/>
      <c r="E72" s="138" t="s">
        <v>64</v>
      </c>
      <c r="F72" s="15"/>
      <c r="G72" s="9"/>
      <c r="H72" s="138" t="s">
        <v>64</v>
      </c>
      <c r="I72" s="15"/>
      <c r="K72" s="21"/>
      <c r="L72" s="21"/>
      <c r="M72" s="21"/>
      <c r="N72" s="21"/>
      <c r="O72" s="21"/>
    </row>
    <row r="73" spans="1:15" ht="12.5" hidden="1" x14ac:dyDescent="0.25">
      <c r="A73" s="151" t="s">
        <v>64</v>
      </c>
      <c r="B73" s="9"/>
      <c r="C73" s="15"/>
      <c r="D73" s="9"/>
      <c r="E73" s="138" t="s">
        <v>64</v>
      </c>
      <c r="F73" s="15"/>
      <c r="G73" s="9"/>
      <c r="H73" s="138" t="s">
        <v>64</v>
      </c>
      <c r="I73" s="15"/>
      <c r="K73" s="21"/>
      <c r="L73" s="21"/>
      <c r="M73" s="21"/>
      <c r="N73" s="21"/>
      <c r="O73" s="21"/>
    </row>
    <row r="74" spans="1:15" ht="12.5" hidden="1" x14ac:dyDescent="0.25">
      <c r="A74" s="151" t="s">
        <v>64</v>
      </c>
      <c r="B74" s="9"/>
      <c r="C74" s="15"/>
      <c r="D74" s="9"/>
      <c r="E74" s="138" t="s">
        <v>64</v>
      </c>
      <c r="F74" s="15"/>
      <c r="G74" s="9"/>
      <c r="H74" s="138" t="s">
        <v>64</v>
      </c>
      <c r="I74" s="15"/>
      <c r="K74" s="21"/>
      <c r="L74" s="21"/>
      <c r="M74" s="21"/>
      <c r="N74" s="21"/>
      <c r="O74" s="21"/>
    </row>
    <row r="75" spans="1:15" ht="12.5" hidden="1" x14ac:dyDescent="0.25">
      <c r="A75" s="151" t="s">
        <v>64</v>
      </c>
      <c r="B75" s="9"/>
      <c r="C75" s="15"/>
      <c r="D75" s="9"/>
      <c r="E75" s="138" t="s">
        <v>64</v>
      </c>
      <c r="F75" s="15"/>
      <c r="G75" s="9"/>
      <c r="H75" s="138" t="s">
        <v>64</v>
      </c>
      <c r="I75" s="15"/>
      <c r="K75" s="21"/>
      <c r="L75" s="21"/>
      <c r="M75" s="21"/>
      <c r="N75" s="21"/>
      <c r="O75" s="21"/>
    </row>
    <row r="76" spans="1:15" ht="12.5" hidden="1" x14ac:dyDescent="0.25">
      <c r="A76" s="151" t="s">
        <v>64</v>
      </c>
      <c r="B76" s="9"/>
      <c r="C76" s="15"/>
      <c r="D76" s="9"/>
      <c r="E76" s="138" t="s">
        <v>64</v>
      </c>
      <c r="F76" s="15"/>
      <c r="G76" s="9"/>
      <c r="H76" s="138" t="s">
        <v>64</v>
      </c>
      <c r="I76" s="15"/>
      <c r="K76" s="21"/>
      <c r="L76" s="21"/>
      <c r="M76" s="21"/>
      <c r="N76" s="21"/>
      <c r="O76" s="21"/>
    </row>
    <row r="77" spans="1:15" ht="12.5" hidden="1" x14ac:dyDescent="0.25">
      <c r="A77" s="151" t="s">
        <v>64</v>
      </c>
      <c r="B77" s="9"/>
      <c r="C77" s="15"/>
      <c r="D77" s="9"/>
      <c r="E77" s="138" t="s">
        <v>64</v>
      </c>
      <c r="F77" s="15"/>
      <c r="G77" s="9"/>
      <c r="H77" s="138" t="s">
        <v>64</v>
      </c>
      <c r="I77" s="15"/>
      <c r="K77" s="21"/>
      <c r="L77" s="21"/>
      <c r="M77" s="21"/>
      <c r="N77" s="21"/>
      <c r="O77" s="21"/>
    </row>
    <row r="78" spans="1:15" ht="12.5" hidden="1" x14ac:dyDescent="0.25">
      <c r="A78" s="151" t="s">
        <v>64</v>
      </c>
      <c r="B78" s="9"/>
      <c r="C78" s="15"/>
      <c r="D78" s="9"/>
      <c r="E78" s="138" t="s">
        <v>64</v>
      </c>
      <c r="F78" s="15"/>
      <c r="G78" s="9"/>
      <c r="H78" s="138" t="s">
        <v>64</v>
      </c>
      <c r="I78" s="15"/>
      <c r="K78" s="21"/>
      <c r="L78" s="21"/>
      <c r="M78" s="21"/>
      <c r="N78" s="21"/>
      <c r="O78" s="21"/>
    </row>
    <row r="79" spans="1:15" ht="12.5" hidden="1" x14ac:dyDescent="0.25">
      <c r="A79" s="151" t="s">
        <v>64</v>
      </c>
      <c r="B79" s="9"/>
      <c r="C79" s="15"/>
      <c r="D79" s="9"/>
      <c r="E79" s="138" t="s">
        <v>64</v>
      </c>
      <c r="F79" s="15"/>
      <c r="G79" s="9"/>
      <c r="H79" s="138" t="s">
        <v>64</v>
      </c>
      <c r="I79" s="15"/>
      <c r="K79" s="21"/>
      <c r="L79" s="21"/>
      <c r="M79" s="21"/>
      <c r="N79" s="21"/>
      <c r="O79" s="21"/>
    </row>
    <row r="80" spans="1:15" ht="12.5" hidden="1" x14ac:dyDescent="0.25">
      <c r="A80" s="151" t="s">
        <v>64</v>
      </c>
      <c r="B80" s="9"/>
      <c r="C80" s="15"/>
      <c r="D80" s="9"/>
      <c r="E80" s="138" t="s">
        <v>64</v>
      </c>
      <c r="F80" s="15"/>
      <c r="G80" s="9"/>
      <c r="H80" s="138" t="s">
        <v>64</v>
      </c>
      <c r="I80" s="15"/>
      <c r="K80" s="21"/>
      <c r="L80" s="21"/>
      <c r="M80" s="21"/>
      <c r="N80" s="21"/>
      <c r="O80" s="21"/>
    </row>
    <row r="81" spans="1:15" ht="12.5" hidden="1" x14ac:dyDescent="0.25">
      <c r="A81" s="151" t="s">
        <v>64</v>
      </c>
      <c r="B81" s="9"/>
      <c r="C81" s="15"/>
      <c r="D81" s="9"/>
      <c r="E81" s="138" t="s">
        <v>64</v>
      </c>
      <c r="F81" s="15"/>
      <c r="G81" s="9"/>
      <c r="H81" s="138" t="s">
        <v>64</v>
      </c>
      <c r="I81" s="15"/>
      <c r="K81" s="21"/>
      <c r="L81" s="21"/>
      <c r="M81" s="21"/>
      <c r="N81" s="21"/>
      <c r="O81" s="21"/>
    </row>
    <row r="82" spans="1:15" ht="12.5" hidden="1" x14ac:dyDescent="0.25">
      <c r="A82" s="151" t="s">
        <v>64</v>
      </c>
      <c r="B82" s="9"/>
      <c r="C82" s="15"/>
      <c r="D82" s="9"/>
      <c r="E82" s="138" t="s">
        <v>64</v>
      </c>
      <c r="F82" s="15"/>
      <c r="G82" s="9"/>
      <c r="H82" s="138" t="s">
        <v>64</v>
      </c>
      <c r="I82" s="15"/>
      <c r="K82" s="21"/>
      <c r="L82" s="21"/>
      <c r="M82" s="21"/>
      <c r="N82" s="21"/>
      <c r="O82" s="21"/>
    </row>
    <row r="83" spans="1:15" ht="12.5" hidden="1" x14ac:dyDescent="0.25">
      <c r="A83" s="151" t="s">
        <v>64</v>
      </c>
      <c r="B83" s="9"/>
      <c r="C83" s="15"/>
      <c r="D83" s="9"/>
      <c r="E83" s="138" t="s">
        <v>64</v>
      </c>
      <c r="F83" s="15"/>
      <c r="G83" s="9"/>
      <c r="H83" s="138" t="s">
        <v>64</v>
      </c>
      <c r="I83" s="15"/>
      <c r="K83" s="21"/>
      <c r="L83" s="21"/>
      <c r="M83" s="21"/>
      <c r="N83" s="21"/>
      <c r="O83" s="21"/>
    </row>
    <row r="84" spans="1:15" ht="12.5" hidden="1" x14ac:dyDescent="0.25">
      <c r="A84" s="151" t="s">
        <v>64</v>
      </c>
      <c r="B84" s="9"/>
      <c r="C84" s="15"/>
      <c r="D84" s="9"/>
      <c r="E84" s="138" t="s">
        <v>64</v>
      </c>
      <c r="F84" s="15"/>
      <c r="G84" s="9"/>
      <c r="H84" s="138" t="s">
        <v>64</v>
      </c>
      <c r="I84" s="15"/>
      <c r="K84" s="21"/>
      <c r="L84" s="21"/>
      <c r="M84" s="21"/>
      <c r="N84" s="21"/>
      <c r="O84" s="21"/>
    </row>
    <row r="85" spans="1:15" ht="12.5" hidden="1" x14ac:dyDescent="0.25">
      <c r="A85" s="151" t="s">
        <v>64</v>
      </c>
      <c r="B85" s="9"/>
      <c r="C85" s="15"/>
      <c r="D85" s="9"/>
      <c r="E85" s="138" t="s">
        <v>64</v>
      </c>
      <c r="F85" s="15"/>
      <c r="G85" s="9"/>
      <c r="H85" s="138" t="s">
        <v>64</v>
      </c>
      <c r="I85" s="15"/>
      <c r="K85" s="21"/>
      <c r="L85" s="21"/>
      <c r="M85" s="21"/>
      <c r="N85" s="21"/>
      <c r="O85" s="21"/>
    </row>
    <row r="86" spans="1:15" ht="12.5" hidden="1" x14ac:dyDescent="0.25">
      <c r="A86" s="151" t="s">
        <v>64</v>
      </c>
      <c r="B86" s="9"/>
      <c r="C86" s="15"/>
      <c r="D86" s="9"/>
      <c r="E86" s="138" t="s">
        <v>64</v>
      </c>
      <c r="F86" s="15"/>
      <c r="G86" s="9"/>
      <c r="H86" s="138" t="s">
        <v>64</v>
      </c>
      <c r="I86" s="15"/>
      <c r="K86" s="21"/>
      <c r="L86" s="21"/>
      <c r="M86" s="21"/>
      <c r="N86" s="21"/>
      <c r="O86" s="21"/>
    </row>
    <row r="87" spans="1:15" ht="12.5" hidden="1" x14ac:dyDescent="0.25">
      <c r="A87" s="151" t="s">
        <v>64</v>
      </c>
      <c r="B87" s="9"/>
      <c r="C87" s="15"/>
      <c r="D87" s="9"/>
      <c r="E87" s="138" t="s">
        <v>64</v>
      </c>
      <c r="F87" s="15"/>
      <c r="G87" s="9"/>
      <c r="H87" s="138" t="s">
        <v>64</v>
      </c>
      <c r="I87" s="15"/>
      <c r="K87" s="21"/>
      <c r="L87" s="21"/>
      <c r="M87" s="21"/>
      <c r="N87" s="21"/>
      <c r="O87" s="21"/>
    </row>
    <row r="88" spans="1:15" ht="12.5" hidden="1" x14ac:dyDescent="0.25">
      <c r="A88" s="151" t="s">
        <v>64</v>
      </c>
      <c r="B88" s="9"/>
      <c r="C88" s="15"/>
      <c r="D88" s="9"/>
      <c r="E88" s="138" t="s">
        <v>64</v>
      </c>
      <c r="F88" s="15"/>
      <c r="G88" s="9"/>
      <c r="H88" s="138" t="s">
        <v>64</v>
      </c>
      <c r="I88" s="15"/>
      <c r="K88" s="21"/>
      <c r="L88" s="21"/>
      <c r="M88" s="21"/>
      <c r="N88" s="21"/>
      <c r="O88" s="21"/>
    </row>
    <row r="89" spans="1:15" ht="12.5" hidden="1" x14ac:dyDescent="0.25">
      <c r="A89" s="151" t="s">
        <v>64</v>
      </c>
      <c r="B89" s="9"/>
      <c r="C89" s="15"/>
      <c r="D89" s="9"/>
      <c r="E89" s="138" t="s">
        <v>64</v>
      </c>
      <c r="F89" s="15"/>
      <c r="G89" s="9"/>
      <c r="H89" s="138" t="s">
        <v>64</v>
      </c>
      <c r="I89" s="15"/>
      <c r="K89" s="21"/>
      <c r="L89" s="21"/>
      <c r="M89" s="21"/>
      <c r="N89" s="21"/>
      <c r="O89" s="21"/>
    </row>
    <row r="90" spans="1:15" ht="12.5" hidden="1" x14ac:dyDescent="0.25">
      <c r="A90" s="151" t="s">
        <v>64</v>
      </c>
      <c r="B90" s="9"/>
      <c r="C90" s="15"/>
      <c r="D90" s="9"/>
      <c r="E90" s="138" t="s">
        <v>64</v>
      </c>
      <c r="F90" s="15"/>
      <c r="G90" s="9"/>
      <c r="H90" s="138" t="s">
        <v>64</v>
      </c>
      <c r="I90" s="15"/>
      <c r="K90" s="21"/>
      <c r="L90" s="21"/>
      <c r="M90" s="21"/>
      <c r="N90" s="21"/>
      <c r="O90" s="21"/>
    </row>
    <row r="91" spans="1:15" ht="12.5" hidden="1" x14ac:dyDescent="0.25">
      <c r="A91" s="151" t="s">
        <v>64</v>
      </c>
      <c r="B91" s="9"/>
      <c r="C91" s="15"/>
      <c r="D91" s="9"/>
      <c r="E91" s="138" t="s">
        <v>64</v>
      </c>
      <c r="F91" s="15"/>
      <c r="G91" s="9"/>
      <c r="H91" s="138" t="s">
        <v>64</v>
      </c>
      <c r="I91" s="15"/>
      <c r="K91" s="21"/>
      <c r="L91" s="21"/>
      <c r="M91" s="21"/>
      <c r="N91" s="21"/>
      <c r="O91" s="21"/>
    </row>
    <row r="92" spans="1:15" ht="12.5" hidden="1" x14ac:dyDescent="0.25">
      <c r="A92" s="151" t="s">
        <v>64</v>
      </c>
      <c r="B92" s="9"/>
      <c r="C92" s="15"/>
      <c r="D92" s="9"/>
      <c r="E92" s="138" t="s">
        <v>64</v>
      </c>
      <c r="F92" s="15"/>
      <c r="G92" s="9"/>
      <c r="H92" s="138" t="s">
        <v>64</v>
      </c>
      <c r="I92" s="15"/>
      <c r="K92" s="21"/>
      <c r="L92" s="21"/>
      <c r="M92" s="21"/>
      <c r="N92" s="21"/>
      <c r="O92" s="21"/>
    </row>
    <row r="93" spans="1:15" ht="12.5" hidden="1" x14ac:dyDescent="0.25">
      <c r="A93" s="151" t="s">
        <v>64</v>
      </c>
      <c r="B93" s="9"/>
      <c r="C93" s="15"/>
      <c r="D93" s="9"/>
      <c r="E93" s="138" t="s">
        <v>64</v>
      </c>
      <c r="F93" s="15"/>
      <c r="G93" s="9"/>
      <c r="H93" s="138" t="s">
        <v>64</v>
      </c>
      <c r="I93" s="15"/>
      <c r="K93" s="21"/>
      <c r="L93" s="21"/>
      <c r="M93" s="21"/>
      <c r="N93" s="21"/>
      <c r="O93" s="21"/>
    </row>
    <row r="94" spans="1:15" ht="12.5" hidden="1" x14ac:dyDescent="0.25">
      <c r="A94" s="151" t="s">
        <v>64</v>
      </c>
      <c r="B94" s="9"/>
      <c r="C94" s="15"/>
      <c r="D94" s="9"/>
      <c r="E94" s="138" t="s">
        <v>64</v>
      </c>
      <c r="F94" s="15"/>
      <c r="G94" s="9"/>
      <c r="H94" s="138" t="s">
        <v>64</v>
      </c>
      <c r="I94" s="15"/>
      <c r="K94" s="21"/>
      <c r="L94" s="21"/>
      <c r="M94" s="21"/>
      <c r="N94" s="21"/>
      <c r="O94" s="21"/>
    </row>
    <row r="95" spans="1:15" ht="12.5" hidden="1" x14ac:dyDescent="0.25">
      <c r="A95" s="151" t="s">
        <v>64</v>
      </c>
      <c r="B95" s="9"/>
      <c r="C95" s="15"/>
      <c r="D95" s="9"/>
      <c r="E95" s="138" t="s">
        <v>64</v>
      </c>
      <c r="F95" s="15"/>
      <c r="G95" s="9"/>
      <c r="H95" s="138" t="s">
        <v>64</v>
      </c>
      <c r="I95" s="15"/>
      <c r="K95" s="21"/>
      <c r="L95" s="21"/>
      <c r="M95" s="21"/>
      <c r="N95" s="21"/>
      <c r="O95" s="21"/>
    </row>
    <row r="96" spans="1:15" ht="12.5" hidden="1" x14ac:dyDescent="0.25">
      <c r="A96" s="151" t="s">
        <v>64</v>
      </c>
      <c r="B96" s="9"/>
      <c r="C96" s="15"/>
      <c r="D96" s="9"/>
      <c r="E96" s="138" t="s">
        <v>64</v>
      </c>
      <c r="F96" s="15"/>
      <c r="G96" s="9"/>
      <c r="H96" s="138" t="s">
        <v>64</v>
      </c>
      <c r="I96" s="15"/>
      <c r="K96" s="21"/>
      <c r="L96" s="21"/>
      <c r="M96" s="21"/>
      <c r="N96" s="21"/>
      <c r="O96" s="21"/>
    </row>
    <row r="97" spans="1:15" ht="12.5" hidden="1" x14ac:dyDescent="0.25">
      <c r="A97" s="151" t="s">
        <v>64</v>
      </c>
      <c r="B97" s="9"/>
      <c r="C97" s="15"/>
      <c r="D97" s="9"/>
      <c r="E97" s="138" t="s">
        <v>64</v>
      </c>
      <c r="F97" s="15"/>
      <c r="G97" s="9"/>
      <c r="H97" s="138" t="s">
        <v>64</v>
      </c>
      <c r="I97" s="15"/>
      <c r="K97" s="21"/>
      <c r="L97" s="21"/>
      <c r="M97" s="21"/>
      <c r="N97" s="21"/>
      <c r="O97" s="21"/>
    </row>
    <row r="98" spans="1:15" ht="12.5" hidden="1" x14ac:dyDescent="0.25">
      <c r="A98" s="151" t="s">
        <v>64</v>
      </c>
      <c r="B98" s="9"/>
      <c r="C98" s="15"/>
      <c r="D98" s="9"/>
      <c r="E98" s="138" t="s">
        <v>64</v>
      </c>
      <c r="F98" s="15"/>
      <c r="G98" s="9"/>
      <c r="H98" s="138" t="s">
        <v>64</v>
      </c>
      <c r="I98" s="15"/>
      <c r="K98" s="21"/>
      <c r="L98" s="21"/>
      <c r="M98" s="21"/>
      <c r="N98" s="21"/>
      <c r="O98" s="21"/>
    </row>
    <row r="99" spans="1:15" ht="12.5" hidden="1" x14ac:dyDescent="0.25">
      <c r="A99" s="151" t="s">
        <v>64</v>
      </c>
      <c r="B99" s="9"/>
      <c r="C99" s="15"/>
      <c r="D99" s="9"/>
      <c r="E99" s="138" t="s">
        <v>64</v>
      </c>
      <c r="F99" s="15"/>
      <c r="G99" s="9"/>
      <c r="H99" s="138" t="s">
        <v>64</v>
      </c>
      <c r="I99" s="15"/>
      <c r="K99" s="21"/>
      <c r="L99" s="21"/>
      <c r="M99" s="21"/>
      <c r="N99" s="21"/>
      <c r="O99" s="21"/>
    </row>
    <row r="100" spans="1:15" ht="12.5" hidden="1" x14ac:dyDescent="0.25">
      <c r="A100" s="151" t="s">
        <v>64</v>
      </c>
      <c r="B100" s="9"/>
      <c r="C100" s="15"/>
      <c r="D100" s="9"/>
      <c r="E100" s="138" t="s">
        <v>64</v>
      </c>
      <c r="F100" s="15"/>
      <c r="G100" s="9"/>
      <c r="H100" s="138" t="s">
        <v>64</v>
      </c>
      <c r="I100" s="15"/>
      <c r="K100" s="21"/>
      <c r="L100" s="21"/>
      <c r="M100" s="21"/>
      <c r="N100" s="21"/>
      <c r="O100" s="21"/>
    </row>
    <row r="101" spans="1:15" ht="12.5" hidden="1" x14ac:dyDescent="0.25">
      <c r="A101" s="151" t="s">
        <v>64</v>
      </c>
      <c r="B101" s="9"/>
      <c r="C101" s="15"/>
      <c r="D101" s="9"/>
      <c r="E101" s="138" t="s">
        <v>64</v>
      </c>
      <c r="F101" s="15"/>
      <c r="G101" s="9"/>
      <c r="H101" s="138" t="s">
        <v>64</v>
      </c>
      <c r="I101" s="15"/>
      <c r="K101" s="21"/>
      <c r="L101" s="21"/>
      <c r="M101" s="21"/>
      <c r="N101" s="21"/>
      <c r="O101" s="21"/>
    </row>
    <row r="102" spans="1:15" ht="12.5" hidden="1" x14ac:dyDescent="0.25">
      <c r="A102" s="151" t="s">
        <v>64</v>
      </c>
      <c r="B102" s="9"/>
      <c r="C102" s="15"/>
      <c r="D102" s="9"/>
      <c r="E102" s="138" t="s">
        <v>64</v>
      </c>
      <c r="F102" s="15"/>
      <c r="G102" s="9"/>
      <c r="H102" s="138" t="s">
        <v>64</v>
      </c>
      <c r="I102" s="15"/>
      <c r="K102" s="21"/>
      <c r="L102" s="21"/>
      <c r="M102" s="21"/>
      <c r="N102" s="21"/>
      <c r="O102" s="21"/>
    </row>
    <row r="103" spans="1:15" ht="12.5" hidden="1" x14ac:dyDescent="0.25">
      <c r="A103" s="151" t="s">
        <v>64</v>
      </c>
      <c r="B103" s="9"/>
      <c r="C103" s="15"/>
      <c r="D103" s="9"/>
      <c r="E103" s="138" t="s">
        <v>64</v>
      </c>
      <c r="F103" s="15"/>
      <c r="G103" s="9"/>
      <c r="H103" s="138" t="s">
        <v>64</v>
      </c>
      <c r="I103" s="15"/>
      <c r="K103" s="21"/>
      <c r="L103" s="21"/>
      <c r="M103" s="21"/>
      <c r="N103" s="21"/>
      <c r="O103" s="21"/>
    </row>
    <row r="104" spans="1:15" ht="12.5" hidden="1" x14ac:dyDescent="0.25">
      <c r="A104" s="151" t="s">
        <v>64</v>
      </c>
      <c r="B104" s="9"/>
      <c r="C104" s="15"/>
      <c r="D104" s="9"/>
      <c r="E104" s="138" t="s">
        <v>64</v>
      </c>
      <c r="F104" s="15"/>
      <c r="G104" s="9"/>
      <c r="H104" s="138" t="s">
        <v>64</v>
      </c>
      <c r="I104" s="15"/>
      <c r="K104" s="21"/>
      <c r="L104" s="21"/>
      <c r="M104" s="21"/>
      <c r="N104" s="21"/>
      <c r="O104" s="21"/>
    </row>
    <row r="105" spans="1:15" ht="12.5" hidden="1" x14ac:dyDescent="0.25">
      <c r="A105" s="151" t="s">
        <v>64</v>
      </c>
      <c r="B105" s="9"/>
      <c r="C105" s="15"/>
      <c r="D105" s="9"/>
      <c r="E105" s="138" t="s">
        <v>64</v>
      </c>
      <c r="F105" s="15"/>
      <c r="G105" s="9"/>
      <c r="H105" s="138" t="s">
        <v>64</v>
      </c>
      <c r="I105" s="15"/>
      <c r="K105" s="21"/>
      <c r="L105" s="21"/>
      <c r="M105" s="21"/>
      <c r="N105" s="21"/>
      <c r="O105" s="21"/>
    </row>
    <row r="106" spans="1:15" ht="12.5" hidden="1" x14ac:dyDescent="0.25">
      <c r="A106" s="151" t="s">
        <v>64</v>
      </c>
      <c r="B106" s="9"/>
      <c r="C106" s="15"/>
      <c r="D106" s="9"/>
      <c r="E106" s="138" t="s">
        <v>64</v>
      </c>
      <c r="F106" s="15"/>
      <c r="G106" s="9"/>
      <c r="H106" s="138" t="s">
        <v>64</v>
      </c>
      <c r="I106" s="15"/>
      <c r="K106" s="21"/>
      <c r="L106" s="21"/>
      <c r="M106" s="21"/>
      <c r="N106" s="21"/>
      <c r="O106" s="21"/>
    </row>
    <row r="107" spans="1:15" ht="12.5" hidden="1" x14ac:dyDescent="0.25">
      <c r="A107" s="151" t="s">
        <v>64</v>
      </c>
      <c r="B107" s="9"/>
      <c r="C107" s="15"/>
      <c r="D107" s="9"/>
      <c r="E107" s="138" t="s">
        <v>64</v>
      </c>
      <c r="F107" s="15"/>
      <c r="G107" s="9"/>
      <c r="H107" s="138" t="s">
        <v>64</v>
      </c>
      <c r="I107" s="15"/>
      <c r="K107" s="21"/>
      <c r="L107" s="21"/>
      <c r="M107" s="21"/>
      <c r="N107" s="21"/>
      <c r="O107" s="21"/>
    </row>
    <row r="108" spans="1:15" ht="12.5" hidden="1" x14ac:dyDescent="0.25">
      <c r="A108" s="151" t="s">
        <v>64</v>
      </c>
      <c r="B108" s="9"/>
      <c r="C108" s="15"/>
      <c r="D108" s="9"/>
      <c r="E108" s="138" t="s">
        <v>64</v>
      </c>
      <c r="F108" s="15"/>
      <c r="G108" s="9"/>
      <c r="H108" s="138" t="s">
        <v>64</v>
      </c>
      <c r="I108" s="15"/>
      <c r="K108" s="21"/>
      <c r="L108" s="21"/>
      <c r="M108" s="21"/>
      <c r="N108" s="21"/>
      <c r="O108" s="21"/>
    </row>
    <row r="109" spans="1:15" ht="12.5" hidden="1" x14ac:dyDescent="0.25">
      <c r="A109" s="151" t="s">
        <v>64</v>
      </c>
      <c r="B109" s="9"/>
      <c r="C109" s="15"/>
      <c r="D109" s="9"/>
      <c r="E109" s="138" t="s">
        <v>64</v>
      </c>
      <c r="F109" s="15"/>
      <c r="G109" s="9"/>
      <c r="H109" s="138" t="s">
        <v>64</v>
      </c>
      <c r="I109" s="15"/>
      <c r="K109" s="21"/>
      <c r="L109" s="21"/>
      <c r="M109" s="21"/>
      <c r="N109" s="21"/>
      <c r="O109" s="21"/>
    </row>
    <row r="110" spans="1:15" ht="12.5" hidden="1" x14ac:dyDescent="0.25">
      <c r="A110" s="151" t="s">
        <v>64</v>
      </c>
      <c r="B110" s="9"/>
      <c r="C110" s="15"/>
      <c r="D110" s="9"/>
      <c r="E110" s="138" t="s">
        <v>64</v>
      </c>
      <c r="F110" s="15"/>
      <c r="G110" s="9"/>
      <c r="H110" s="138" t="s">
        <v>64</v>
      </c>
      <c r="I110" s="15"/>
      <c r="K110" s="21"/>
      <c r="L110" s="21"/>
      <c r="M110" s="21"/>
      <c r="N110" s="21"/>
      <c r="O110" s="21"/>
    </row>
    <row r="111" spans="1:15" ht="12.5" hidden="1" x14ac:dyDescent="0.25">
      <c r="A111" s="151" t="s">
        <v>64</v>
      </c>
      <c r="B111" s="9"/>
      <c r="C111" s="15"/>
      <c r="D111" s="9"/>
      <c r="E111" s="138" t="s">
        <v>64</v>
      </c>
      <c r="F111" s="15"/>
      <c r="G111" s="9"/>
      <c r="H111" s="138" t="s">
        <v>64</v>
      </c>
      <c r="I111" s="15"/>
      <c r="K111" s="21"/>
      <c r="L111" s="21"/>
      <c r="M111" s="21"/>
      <c r="N111" s="21"/>
      <c r="O111" s="21"/>
    </row>
    <row r="112" spans="1:15" ht="12.5" hidden="1" x14ac:dyDescent="0.25">
      <c r="A112" s="151" t="s">
        <v>64</v>
      </c>
      <c r="B112" s="9"/>
      <c r="C112" s="15"/>
      <c r="D112" s="9"/>
      <c r="E112" s="138" t="s">
        <v>64</v>
      </c>
      <c r="F112" s="15"/>
      <c r="G112" s="9"/>
      <c r="H112" s="138" t="s">
        <v>64</v>
      </c>
      <c r="I112" s="15"/>
      <c r="K112" s="21"/>
      <c r="L112" s="21"/>
      <c r="M112" s="21"/>
      <c r="N112" s="21"/>
      <c r="O112" s="21"/>
    </row>
    <row r="113" spans="1:15" ht="12.5" hidden="1" x14ac:dyDescent="0.25">
      <c r="A113" s="151" t="s">
        <v>64</v>
      </c>
      <c r="B113" s="9"/>
      <c r="C113" s="15"/>
      <c r="D113" s="9"/>
      <c r="E113" s="138" t="s">
        <v>64</v>
      </c>
      <c r="F113" s="15"/>
      <c r="G113" s="9"/>
      <c r="H113" s="138" t="s">
        <v>64</v>
      </c>
      <c r="I113" s="15"/>
      <c r="K113" s="21"/>
      <c r="L113" s="21"/>
      <c r="M113" s="21"/>
      <c r="N113" s="21"/>
      <c r="O113" s="21"/>
    </row>
    <row r="114" spans="1:15" ht="12.5" hidden="1" x14ac:dyDescent="0.25">
      <c r="A114" s="151" t="s">
        <v>64</v>
      </c>
      <c r="B114" s="9"/>
      <c r="C114" s="15"/>
      <c r="D114" s="9"/>
      <c r="E114" s="138" t="s">
        <v>64</v>
      </c>
      <c r="F114" s="15"/>
      <c r="G114" s="9"/>
      <c r="H114" s="138" t="s">
        <v>64</v>
      </c>
      <c r="I114" s="15"/>
      <c r="K114" s="21"/>
      <c r="L114" s="21"/>
      <c r="M114" s="21"/>
      <c r="N114" s="21"/>
      <c r="O114" s="21"/>
    </row>
    <row r="115" spans="1:15" ht="12.5" hidden="1" x14ac:dyDescent="0.25">
      <c r="A115" s="151" t="s">
        <v>64</v>
      </c>
      <c r="B115" s="9"/>
      <c r="C115" s="15"/>
      <c r="D115" s="9"/>
      <c r="E115" s="138" t="s">
        <v>64</v>
      </c>
      <c r="F115" s="15"/>
      <c r="G115" s="9"/>
      <c r="H115" s="138" t="s">
        <v>64</v>
      </c>
      <c r="I115" s="15"/>
      <c r="K115" s="21"/>
      <c r="L115" s="21"/>
      <c r="M115" s="21"/>
      <c r="N115" s="21"/>
      <c r="O115" s="21"/>
    </row>
    <row r="116" spans="1:15" ht="12.5" hidden="1" x14ac:dyDescent="0.25">
      <c r="A116" s="151" t="s">
        <v>64</v>
      </c>
      <c r="B116" s="9"/>
      <c r="C116" s="15"/>
      <c r="D116" s="9"/>
      <c r="E116" s="138" t="s">
        <v>64</v>
      </c>
      <c r="F116" s="15"/>
      <c r="G116" s="9"/>
      <c r="H116" s="138" t="s">
        <v>64</v>
      </c>
      <c r="I116" s="15"/>
      <c r="K116" s="21"/>
      <c r="L116" s="21"/>
      <c r="M116" s="21"/>
      <c r="N116" s="21"/>
      <c r="O116" s="21"/>
    </row>
    <row r="117" spans="1:15" ht="12.5" hidden="1" x14ac:dyDescent="0.25">
      <c r="A117" s="151" t="s">
        <v>64</v>
      </c>
      <c r="B117" s="9"/>
      <c r="C117" s="15"/>
      <c r="D117" s="9"/>
      <c r="E117" s="138" t="s">
        <v>64</v>
      </c>
      <c r="F117" s="15"/>
      <c r="G117" s="9"/>
      <c r="H117" s="138" t="s">
        <v>64</v>
      </c>
      <c r="I117" s="15"/>
      <c r="K117" s="21"/>
      <c r="L117" s="21"/>
      <c r="M117" s="21"/>
      <c r="N117" s="21"/>
      <c r="O117" s="21"/>
    </row>
    <row r="118" spans="1:15" ht="12.5" hidden="1" x14ac:dyDescent="0.25">
      <c r="A118" s="151" t="s">
        <v>64</v>
      </c>
      <c r="B118" s="9"/>
      <c r="C118" s="15"/>
      <c r="D118" s="9"/>
      <c r="E118" s="138" t="s">
        <v>64</v>
      </c>
      <c r="F118" s="15"/>
      <c r="G118" s="9"/>
      <c r="H118" s="138" t="s">
        <v>64</v>
      </c>
      <c r="I118" s="15"/>
      <c r="K118" s="21"/>
      <c r="L118" s="21"/>
      <c r="M118" s="21"/>
      <c r="N118" s="21"/>
      <c r="O118" s="21"/>
    </row>
    <row r="119" spans="1:15" ht="12.5" hidden="1" x14ac:dyDescent="0.25">
      <c r="A119" s="151" t="s">
        <v>64</v>
      </c>
      <c r="B119" s="9"/>
      <c r="C119" s="15"/>
      <c r="D119" s="9"/>
      <c r="E119" s="138" t="s">
        <v>64</v>
      </c>
      <c r="F119" s="15"/>
      <c r="G119" s="9"/>
      <c r="H119" s="138" t="s">
        <v>64</v>
      </c>
      <c r="I119" s="15"/>
      <c r="K119" s="21"/>
      <c r="L119" s="21"/>
      <c r="M119" s="21"/>
      <c r="N119" s="21"/>
      <c r="O119" s="21"/>
    </row>
    <row r="120" spans="1:15" ht="12.5" hidden="1" x14ac:dyDescent="0.25">
      <c r="A120" s="151" t="s">
        <v>64</v>
      </c>
      <c r="B120" s="9"/>
      <c r="C120" s="15"/>
      <c r="D120" s="9"/>
      <c r="E120" s="138" t="s">
        <v>64</v>
      </c>
      <c r="F120" s="15"/>
      <c r="G120" s="9"/>
      <c r="H120" s="138" t="s">
        <v>64</v>
      </c>
      <c r="I120" s="15"/>
      <c r="K120" s="21"/>
      <c r="L120" s="21"/>
      <c r="M120" s="21"/>
      <c r="N120" s="21"/>
      <c r="O120" s="21"/>
    </row>
    <row r="121" spans="1:15" ht="12.5" hidden="1" x14ac:dyDescent="0.25">
      <c r="A121" s="151" t="s">
        <v>64</v>
      </c>
      <c r="B121" s="9"/>
      <c r="C121" s="15"/>
      <c r="D121" s="9"/>
      <c r="E121" s="138" t="s">
        <v>64</v>
      </c>
      <c r="F121" s="15"/>
      <c r="G121" s="9"/>
      <c r="H121" s="138" t="s">
        <v>64</v>
      </c>
      <c r="I121" s="15"/>
      <c r="K121" s="21"/>
      <c r="L121" s="21"/>
      <c r="M121" s="21"/>
      <c r="N121" s="21"/>
      <c r="O121" s="21"/>
    </row>
    <row r="122" spans="1:15" ht="12.5" hidden="1" x14ac:dyDescent="0.25">
      <c r="A122" s="151" t="s">
        <v>64</v>
      </c>
      <c r="B122" s="9"/>
      <c r="C122" s="15"/>
      <c r="D122" s="9"/>
      <c r="E122" s="138" t="s">
        <v>64</v>
      </c>
      <c r="F122" s="15"/>
      <c r="G122" s="9"/>
      <c r="H122" s="138" t="s">
        <v>64</v>
      </c>
      <c r="I122" s="15"/>
      <c r="K122" s="21"/>
      <c r="L122" s="21"/>
      <c r="M122" s="21"/>
      <c r="N122" s="21"/>
      <c r="O122" s="21"/>
    </row>
    <row r="123" spans="1:15" ht="12.5" hidden="1" x14ac:dyDescent="0.25">
      <c r="A123" s="151" t="s">
        <v>64</v>
      </c>
      <c r="B123" s="9"/>
      <c r="C123" s="15"/>
      <c r="D123" s="9"/>
      <c r="E123" s="138" t="s">
        <v>64</v>
      </c>
      <c r="F123" s="15"/>
      <c r="G123" s="9"/>
      <c r="H123" s="138" t="s">
        <v>64</v>
      </c>
      <c r="I123" s="15"/>
      <c r="K123" s="21"/>
      <c r="L123" s="21"/>
      <c r="M123" s="21"/>
      <c r="N123" s="21"/>
      <c r="O123" s="21"/>
    </row>
    <row r="124" spans="1:15" ht="12.5" hidden="1" x14ac:dyDescent="0.25">
      <c r="A124" s="151" t="s">
        <v>64</v>
      </c>
      <c r="B124" s="9"/>
      <c r="C124" s="15"/>
      <c r="D124" s="9"/>
      <c r="E124" s="138" t="s">
        <v>64</v>
      </c>
      <c r="F124" s="15"/>
      <c r="G124" s="9"/>
      <c r="H124" s="138" t="s">
        <v>64</v>
      </c>
      <c r="I124" s="15"/>
      <c r="K124" s="21"/>
      <c r="L124" s="21"/>
      <c r="M124" s="21"/>
      <c r="N124" s="21"/>
      <c r="O124" s="21"/>
    </row>
    <row r="125" spans="1:15" ht="12.5" hidden="1" x14ac:dyDescent="0.25">
      <c r="A125" s="151" t="s">
        <v>64</v>
      </c>
      <c r="B125" s="9"/>
      <c r="C125" s="15"/>
      <c r="D125" s="9"/>
      <c r="E125" s="138" t="s">
        <v>64</v>
      </c>
      <c r="F125" s="15"/>
      <c r="G125" s="9"/>
      <c r="H125" s="138" t="s">
        <v>64</v>
      </c>
      <c r="I125" s="15"/>
      <c r="K125" s="21"/>
      <c r="L125" s="21"/>
      <c r="M125" s="21"/>
      <c r="N125" s="21"/>
      <c r="O125" s="21"/>
    </row>
    <row r="126" spans="1:15" ht="12.5" hidden="1" x14ac:dyDescent="0.25">
      <c r="A126" s="151" t="s">
        <v>64</v>
      </c>
      <c r="B126" s="9"/>
      <c r="C126" s="15"/>
      <c r="D126" s="9"/>
      <c r="E126" s="138" t="s">
        <v>64</v>
      </c>
      <c r="F126" s="15"/>
      <c r="G126" s="9"/>
      <c r="H126" s="138" t="s">
        <v>64</v>
      </c>
      <c r="I126" s="15"/>
      <c r="K126" s="21"/>
      <c r="L126" s="21"/>
      <c r="M126" s="21"/>
      <c r="N126" s="21"/>
      <c r="O126" s="21"/>
    </row>
    <row r="127" spans="1:15" ht="12.5" hidden="1" x14ac:dyDescent="0.25">
      <c r="A127" s="151" t="s">
        <v>64</v>
      </c>
      <c r="B127" s="9"/>
      <c r="C127" s="15"/>
      <c r="D127" s="9"/>
      <c r="E127" s="138" t="s">
        <v>64</v>
      </c>
      <c r="F127" s="15"/>
      <c r="G127" s="9"/>
      <c r="H127" s="138" t="s">
        <v>64</v>
      </c>
      <c r="I127" s="15"/>
      <c r="K127" s="21"/>
      <c r="L127" s="21"/>
      <c r="M127" s="21"/>
      <c r="N127" s="21"/>
      <c r="O127" s="21"/>
    </row>
    <row r="128" spans="1:15" ht="12.5" hidden="1" x14ac:dyDescent="0.25">
      <c r="A128" s="151" t="s">
        <v>64</v>
      </c>
      <c r="B128" s="9"/>
      <c r="C128" s="15"/>
      <c r="D128" s="9"/>
      <c r="E128" s="138" t="s">
        <v>64</v>
      </c>
      <c r="F128" s="15"/>
      <c r="G128" s="9"/>
      <c r="H128" s="138" t="s">
        <v>64</v>
      </c>
      <c r="I128" s="15"/>
      <c r="K128" s="21"/>
      <c r="L128" s="21"/>
      <c r="M128" s="21"/>
      <c r="N128" s="21"/>
      <c r="O128" s="21"/>
    </row>
    <row r="129" spans="1:15" ht="12.5" hidden="1" x14ac:dyDescent="0.25">
      <c r="A129" s="151" t="s">
        <v>64</v>
      </c>
      <c r="B129" s="9"/>
      <c r="C129" s="15"/>
      <c r="D129" s="9"/>
      <c r="E129" s="138" t="s">
        <v>64</v>
      </c>
      <c r="F129" s="15"/>
      <c r="G129" s="9"/>
      <c r="H129" s="138" t="s">
        <v>64</v>
      </c>
      <c r="I129" s="15"/>
      <c r="K129" s="21"/>
      <c r="L129" s="21"/>
      <c r="M129" s="21"/>
      <c r="N129" s="21"/>
      <c r="O129" s="21"/>
    </row>
    <row r="130" spans="1:15" ht="12.5" hidden="1" x14ac:dyDescent="0.25">
      <c r="A130" s="151" t="s">
        <v>64</v>
      </c>
      <c r="B130" s="9"/>
      <c r="C130" s="15"/>
      <c r="D130" s="9"/>
      <c r="E130" s="138" t="s">
        <v>64</v>
      </c>
      <c r="F130" s="15"/>
      <c r="G130" s="9"/>
      <c r="H130" s="138" t="s">
        <v>64</v>
      </c>
      <c r="I130" s="15"/>
      <c r="K130" s="21"/>
      <c r="L130" s="21"/>
      <c r="M130" s="21"/>
      <c r="N130" s="21"/>
      <c r="O130" s="21"/>
    </row>
    <row r="131" spans="1:15" ht="12.5" hidden="1" x14ac:dyDescent="0.25">
      <c r="A131" s="151" t="s">
        <v>64</v>
      </c>
      <c r="B131" s="9"/>
      <c r="C131" s="15"/>
      <c r="D131" s="9"/>
      <c r="E131" s="138" t="s">
        <v>64</v>
      </c>
      <c r="F131" s="15"/>
      <c r="G131" s="9"/>
      <c r="H131" s="138" t="s">
        <v>64</v>
      </c>
      <c r="I131" s="15"/>
      <c r="K131" s="21"/>
      <c r="L131" s="21"/>
      <c r="M131" s="21"/>
      <c r="N131" s="21"/>
      <c r="O131" s="21"/>
    </row>
    <row r="132" spans="1:15" ht="13" thickBot="1" x14ac:dyDescent="0.3">
      <c r="A132" s="8" t="s">
        <v>70</v>
      </c>
      <c r="B132" s="9"/>
      <c r="C132" s="10">
        <f>IFERROR(IF(G33&gt;0,ROUND(R57-SUM(C56:C131)-T40,0),ROUND(R57-G52/SUM(R55:R57)*R57-SUM(C56:C128),0)),0)</f>
        <v>0</v>
      </c>
      <c r="D132" s="9"/>
      <c r="E132" s="139" t="s">
        <v>71</v>
      </c>
      <c r="F132" s="140">
        <f>G50-SUM(F60:F131)</f>
        <v>-83</v>
      </c>
      <c r="G132" s="9"/>
      <c r="H132" s="139" t="s">
        <v>71</v>
      </c>
      <c r="I132" s="140">
        <f>G51-SUM(I60:I131)</f>
        <v>-30</v>
      </c>
      <c r="K132" s="21"/>
      <c r="L132" s="21"/>
      <c r="M132" s="21"/>
      <c r="N132" s="21"/>
      <c r="O132" s="21"/>
    </row>
    <row r="133" spans="1:15" ht="13" thickBot="1" x14ac:dyDescent="0.3">
      <c r="A133" s="13" t="s">
        <v>72</v>
      </c>
      <c r="B133" s="9"/>
      <c r="C133" s="14">
        <f>SUM(C56:C132)</f>
        <v>0</v>
      </c>
      <c r="D133" s="9"/>
      <c r="E133" s="154" t="s">
        <v>21</v>
      </c>
      <c r="F133" s="76">
        <f>SUM(F60:F132)</f>
        <v>0</v>
      </c>
      <c r="G133" s="13" t="s">
        <v>21</v>
      </c>
      <c r="H133" s="13"/>
      <c r="I133" s="76">
        <f>SUM(I60:I132)</f>
        <v>0</v>
      </c>
      <c r="K133" s="21"/>
      <c r="L133" s="21"/>
      <c r="M133" s="21"/>
      <c r="N133" s="21"/>
      <c r="O133" s="21"/>
    </row>
    <row r="134" spans="1:15" ht="12.5" x14ac:dyDescent="0.25">
      <c r="A134" s="9"/>
      <c r="B134" s="9"/>
      <c r="C134" s="9"/>
      <c r="D134" s="9"/>
      <c r="E134" s="9"/>
      <c r="F134" s="9"/>
      <c r="G134" s="9"/>
      <c r="H134" s="9"/>
      <c r="I134" s="9"/>
      <c r="K134" s="21"/>
      <c r="L134" s="21"/>
      <c r="M134" s="21"/>
      <c r="N134" s="21"/>
      <c r="O134" s="21"/>
    </row>
    <row r="135" spans="1:15" ht="12.5" x14ac:dyDescent="0.25">
      <c r="K135" s="11"/>
      <c r="L135" s="11"/>
      <c r="M135" s="11"/>
      <c r="N135" s="11"/>
      <c r="O135" s="11"/>
    </row>
    <row r="136" spans="1:15" ht="12.5" hidden="1" x14ac:dyDescent="0.25">
      <c r="K136" s="11"/>
      <c r="L136" s="11"/>
      <c r="M136" s="11"/>
      <c r="N136" s="11"/>
      <c r="O136" s="11"/>
    </row>
    <row r="137" spans="1:15" ht="12.5" hidden="1" x14ac:dyDescent="0.25"/>
    <row r="138" spans="1:15" ht="12.5" hidden="1" x14ac:dyDescent="0.25"/>
    <row r="139" spans="1:15" ht="12.5" hidden="1" x14ac:dyDescent="0.25"/>
    <row r="140" spans="1:15" ht="12.5" hidden="1" x14ac:dyDescent="0.25"/>
    <row r="141" spans="1:15" ht="12.5" hidden="1" x14ac:dyDescent="0.25"/>
  </sheetData>
  <sheetProtection algorithmName="SHA-512" hashValue="6CRNaDqaSO6P4i4Pe4hIzBrfCgT/fxzfs+fjn68dXA0qKp0WfjXlP+jUiRcihy9wM1OZLkgFPW7JQr6EC3HRIg==" saltValue="U4viSANOy0ieMXPcuLjaug==" spinCount="100000" sheet="1" formatColumns="0" formatRows="0" insertColumns="0" insertRows="0" selectLockedCells="1"/>
  <mergeCells count="31">
    <mergeCell ref="B7:D7"/>
    <mergeCell ref="D2:E2"/>
    <mergeCell ref="B5:D5"/>
    <mergeCell ref="F5:G5"/>
    <mergeCell ref="B6:D6"/>
    <mergeCell ref="F6:G6"/>
    <mergeCell ref="A10:C11"/>
    <mergeCell ref="D10:D11"/>
    <mergeCell ref="E10:F11"/>
    <mergeCell ref="K10:O12"/>
    <mergeCell ref="B12:D13"/>
    <mergeCell ref="E12:F13"/>
    <mergeCell ref="K14:O15"/>
    <mergeCell ref="K17:O17"/>
    <mergeCell ref="C18:D18"/>
    <mergeCell ref="K20:O23"/>
    <mergeCell ref="K25:O28"/>
    <mergeCell ref="E28:F28"/>
    <mergeCell ref="K31:O32"/>
    <mergeCell ref="C32:D32"/>
    <mergeCell ref="C33:D33"/>
    <mergeCell ref="C34:D34"/>
    <mergeCell ref="E34:I34"/>
    <mergeCell ref="K34:O35"/>
    <mergeCell ref="C35:D35"/>
    <mergeCell ref="C37:D37"/>
    <mergeCell ref="K39:O42"/>
    <mergeCell ref="E55:I55"/>
    <mergeCell ref="E56:I57"/>
    <mergeCell ref="K56:O61"/>
    <mergeCell ref="E58:I58"/>
  </mergeCells>
  <conditionalFormatting sqref="C50">
    <cfRule type="cellIs" dxfId="30" priority="12" operator="equal">
      <formula>$D$47&lt;&gt;"Niet toegestaan"</formula>
    </cfRule>
  </conditionalFormatting>
  <conditionalFormatting sqref="G32:H32">
    <cfRule type="cellIs" dxfId="29" priority="13" operator="equal">
      <formula>$C$32&lt;&gt;"Ja"</formula>
    </cfRule>
    <cfRule type="cellIs" dxfId="28" priority="14" operator="between">
      <formula>1</formula>
      <formula>1300</formula>
    </cfRule>
  </conditionalFormatting>
  <conditionalFormatting sqref="G33:H33">
    <cfRule type="cellIs" dxfId="27" priority="10" operator="equal">
      <formula>$C$33&lt;&gt;"Ja"</formula>
    </cfRule>
    <cfRule type="cellIs" dxfId="26" priority="11" operator="between">
      <formula>0.1</formula>
      <formula>1</formula>
    </cfRule>
  </conditionalFormatting>
  <conditionalFormatting sqref="C36">
    <cfRule type="cellIs" dxfId="25" priority="15" operator="between">
      <formula>1</formula>
      <formula>341</formula>
    </cfRule>
    <cfRule type="cellIs" dxfId="24" priority="16" operator="equal">
      <formula>$A$36&lt;&gt;"Aantal uur verlof"</formula>
    </cfRule>
  </conditionalFormatting>
  <conditionalFormatting sqref="C35:D35">
    <cfRule type="containsText" dxfId="23" priority="8" operator="containsText" text="e">
      <formula>NOT(ISERROR(SEARCH("e",C35)))</formula>
    </cfRule>
    <cfRule type="cellIs" dxfId="22" priority="9" operator="equal">
      <formula>$A$35&lt;&gt;"Recht duurzame inzetbaarheid"</formula>
    </cfRule>
  </conditionalFormatting>
  <conditionalFormatting sqref="G37:H37">
    <cfRule type="cellIs" dxfId="21" priority="6" operator="equal">
      <formula>$F$32&lt;&gt;"Werktijdfactor verlof"</formula>
    </cfRule>
  </conditionalFormatting>
  <conditionalFormatting sqref="E36:H36">
    <cfRule type="cellIs" dxfId="20" priority="7" operator="between">
      <formula>0.0001</formula>
      <formula>99999</formula>
    </cfRule>
  </conditionalFormatting>
  <conditionalFormatting sqref="E36:H36">
    <cfRule type="cellIs" dxfId="19" priority="5" operator="equal">
      <formula>$F$32&lt;&gt;"Werktijdfactor verlof"</formula>
    </cfRule>
  </conditionalFormatting>
  <conditionalFormatting sqref="E12:F13">
    <cfRule type="containsText" dxfId="18" priority="3" operator="containsText" text="u">
      <formula>NOT(ISERROR(SEARCH("u",E12)))</formula>
    </cfRule>
    <cfRule type="cellIs" dxfId="17" priority="4" operator="equal">
      <formula>$A$36&lt;&gt;"Aantal uur verlof"</formula>
    </cfRule>
  </conditionalFormatting>
  <conditionalFormatting sqref="F132">
    <cfRule type="cellIs" dxfId="16" priority="2" operator="lessThan">
      <formula>0</formula>
    </cfRule>
  </conditionalFormatting>
  <conditionalFormatting sqref="I132">
    <cfRule type="cellIs" dxfId="15" priority="1" operator="lessThan">
      <formula>0</formula>
    </cfRule>
  </conditionalFormatting>
  <dataValidations disablePrompts="1" count="4">
    <dataValidation allowBlank="1" showInputMessage="1" showErrorMessage="1" errorTitle="Ongeldige invoer" error="Het ingevulde aantal uur verlof overstijgt het totaal aantal lesuren. Kies voor een lager aantal uur verlof." sqref="E36:H36" xr:uid="{00000000-0002-0000-0400-000000000000}"/>
    <dataValidation type="decimal" errorStyle="warning" operator="equal" allowBlank="1" showInputMessage="1" showErrorMessage="1" errorTitle="Let op" error="Het aantal lesuren van deze werknemer wijkt af van het ingevoerde schoolbrede aantal" sqref="D20:D24" xr:uid="{00000000-0002-0000-0400-000001000000}">
      <formula1>C20</formula1>
    </dataValidation>
    <dataValidation type="list" allowBlank="1" showInputMessage="1" showErrorMessage="1" sqref="C32:C33" xr:uid="{00000000-0002-0000-0400-000002000000}">
      <formula1>"Ja,Nee"</formula1>
    </dataValidation>
    <dataValidation type="list" allowBlank="1" showInputMessage="1" showErrorMessage="1" sqref="C35:D35" xr:uid="{00000000-0002-0000-0400-000003000000}">
      <formula1>$R$27:$R$29</formula1>
    </dataValidation>
  </dataValidations>
  <pageMargins left="0.7" right="0.7" top="0.75" bottom="0.75" header="0.3" footer="0.3"/>
  <pageSetup scale="87" orientation="portrait" horizontalDpi="1200" verticalDpi="1200" r:id="rId1"/>
  <rowBreaks count="1" manualBreakCount="1">
    <brk id="46"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dimension ref="A1:T86"/>
  <sheetViews>
    <sheetView zoomScaleNormal="100" workbookViewId="0">
      <selection activeCell="D2" sqref="D2:E2"/>
    </sheetView>
  </sheetViews>
  <sheetFormatPr defaultColWidth="0" defaultRowHeight="12.75" customHeight="1" zeroHeight="1" x14ac:dyDescent="0.25"/>
  <cols>
    <col min="1" max="1" width="12.1796875" style="12" customWidth="1"/>
    <col min="2" max="3" width="14.1796875" style="12" customWidth="1"/>
    <col min="4" max="4" width="11.1796875" style="12" customWidth="1"/>
    <col min="5" max="5" width="14.1796875" style="12" customWidth="1"/>
    <col min="6" max="6" width="13.1796875" style="12" customWidth="1"/>
    <col min="7" max="7" width="14.1796875" style="12" customWidth="1"/>
    <col min="8" max="8" width="9" style="12" customWidth="1"/>
    <col min="9" max="9" width="2" style="21" customWidth="1"/>
    <col min="10" max="14" width="13.81640625" style="9" customWidth="1"/>
    <col min="15" max="15" width="9.1796875" style="12" hidden="1" customWidth="1"/>
    <col min="16" max="17" width="9.453125" style="12" hidden="1" customWidth="1"/>
    <col min="18" max="16384" width="9.1796875" style="12" hidden="1"/>
  </cols>
  <sheetData>
    <row r="1" spans="1:18" ht="12.5" x14ac:dyDescent="0.25">
      <c r="A1" s="100" t="s">
        <v>128</v>
      </c>
      <c r="B1" s="9"/>
      <c r="C1" s="9"/>
      <c r="D1" s="9"/>
      <c r="E1" s="9"/>
      <c r="F1" s="9"/>
      <c r="G1" s="9"/>
      <c r="J1" s="21"/>
      <c r="K1" s="21"/>
      <c r="L1" s="21"/>
      <c r="M1" s="21"/>
      <c r="N1" s="21"/>
      <c r="R1" s="26"/>
    </row>
    <row r="2" spans="1:18" ht="17.5" x14ac:dyDescent="0.35">
      <c r="A2" s="94" t="s">
        <v>116</v>
      </c>
      <c r="B2" s="9"/>
      <c r="C2" s="9"/>
      <c r="D2" s="226"/>
      <c r="E2" s="226"/>
      <c r="F2" s="9"/>
      <c r="G2" s="9"/>
      <c r="H2" s="9"/>
      <c r="J2" s="21"/>
      <c r="K2" s="21"/>
      <c r="L2" s="21"/>
      <c r="M2" s="21"/>
      <c r="N2" s="21"/>
      <c r="R2" s="26"/>
    </row>
    <row r="3" spans="1:18" ht="12.5" x14ac:dyDescent="0.25">
      <c r="A3" s="9"/>
      <c r="B3" s="9"/>
      <c r="C3" s="9"/>
      <c r="D3" s="9"/>
      <c r="E3" s="9"/>
      <c r="F3" s="9"/>
      <c r="G3" s="9"/>
      <c r="H3" s="9"/>
      <c r="J3" s="21"/>
      <c r="K3" s="21"/>
      <c r="L3" s="21"/>
      <c r="M3" s="21"/>
      <c r="N3" s="21"/>
    </row>
    <row r="4" spans="1:18" ht="12.5" x14ac:dyDescent="0.25">
      <c r="A4" s="27" t="s">
        <v>1</v>
      </c>
      <c r="B4" s="9"/>
      <c r="C4" s="9"/>
      <c r="D4" s="9"/>
      <c r="E4" s="27" t="s">
        <v>2</v>
      </c>
      <c r="F4" s="9"/>
      <c r="G4" s="9"/>
      <c r="H4" s="9"/>
      <c r="J4" s="21"/>
      <c r="K4" s="21"/>
      <c r="L4" s="21"/>
      <c r="M4" s="21"/>
      <c r="N4" s="21"/>
    </row>
    <row r="5" spans="1:18" ht="12.5" x14ac:dyDescent="0.25">
      <c r="A5" s="9" t="s">
        <v>3</v>
      </c>
      <c r="B5" s="186"/>
      <c r="C5" s="186"/>
      <c r="D5" s="186"/>
      <c r="E5" s="9" t="s">
        <v>4</v>
      </c>
      <c r="F5" s="186"/>
      <c r="G5" s="186"/>
      <c r="H5" s="9"/>
      <c r="J5" s="21"/>
      <c r="K5" s="21"/>
      <c r="L5" s="21"/>
      <c r="M5" s="21"/>
      <c r="N5" s="21"/>
    </row>
    <row r="6" spans="1:18" ht="12.5" x14ac:dyDescent="0.25">
      <c r="A6" s="9" t="s">
        <v>5</v>
      </c>
      <c r="B6" s="186"/>
      <c r="C6" s="186"/>
      <c r="D6" s="186"/>
      <c r="E6" s="9" t="s">
        <v>6</v>
      </c>
      <c r="F6" s="186"/>
      <c r="G6" s="186"/>
      <c r="H6" s="9"/>
      <c r="J6" s="21"/>
      <c r="K6" s="21"/>
      <c r="L6" s="21"/>
      <c r="M6" s="21"/>
      <c r="N6" s="21"/>
    </row>
    <row r="7" spans="1:18" ht="12.5" x14ac:dyDescent="0.25">
      <c r="A7" s="9" t="s">
        <v>7</v>
      </c>
      <c r="B7" s="186"/>
      <c r="C7" s="186"/>
      <c r="D7" s="186"/>
      <c r="E7" s="9"/>
      <c r="F7" s="9"/>
      <c r="G7" s="9"/>
      <c r="H7" s="9"/>
      <c r="J7" s="21"/>
      <c r="K7" s="21"/>
      <c r="L7" s="21"/>
      <c r="M7" s="21"/>
      <c r="N7" s="21"/>
      <c r="R7" s="13"/>
    </row>
    <row r="8" spans="1:18" ht="12.5" x14ac:dyDescent="0.25">
      <c r="A8" s="9" t="s">
        <v>74</v>
      </c>
      <c r="B8" s="212"/>
      <c r="C8" s="212"/>
      <c r="D8" s="212"/>
      <c r="E8" s="212"/>
      <c r="F8" s="212"/>
      <c r="G8" s="212"/>
      <c r="H8" s="212"/>
      <c r="J8" s="21"/>
      <c r="K8" s="21"/>
      <c r="L8" s="21"/>
      <c r="M8" s="21"/>
      <c r="N8" s="21"/>
      <c r="R8" s="13"/>
    </row>
    <row r="9" spans="1:18" ht="13" thickBot="1" x14ac:dyDescent="0.3">
      <c r="A9" s="30"/>
      <c r="B9" s="30"/>
      <c r="C9" s="30"/>
      <c r="D9" s="30"/>
      <c r="E9" s="30"/>
      <c r="F9" s="30"/>
      <c r="G9" s="30"/>
      <c r="H9" s="30"/>
      <c r="I9" s="31"/>
      <c r="J9" s="31"/>
      <c r="K9" s="31"/>
      <c r="L9" s="31"/>
      <c r="M9" s="31"/>
      <c r="N9" s="31"/>
    </row>
    <row r="10" spans="1:18" ht="13" thickBot="1" x14ac:dyDescent="0.3">
      <c r="A10" s="9"/>
      <c r="B10" s="9"/>
      <c r="C10" s="9"/>
      <c r="D10" s="9"/>
      <c r="E10" s="9"/>
      <c r="F10" s="9"/>
      <c r="G10" s="9"/>
      <c r="H10" s="9"/>
      <c r="J10" s="32" t="s">
        <v>10</v>
      </c>
      <c r="K10" s="32"/>
      <c r="L10" s="32"/>
      <c r="M10" s="32"/>
      <c r="N10" s="32"/>
    </row>
    <row r="11" spans="1:18" ht="12.75" customHeight="1" x14ac:dyDescent="0.25">
      <c r="A11" s="220" t="s">
        <v>104</v>
      </c>
      <c r="B11" s="220"/>
      <c r="C11" s="220"/>
      <c r="D11" s="221">
        <v>0</v>
      </c>
      <c r="E11" s="223" t="str">
        <f>IF(D11&gt;0,FLOOR(D11*40,1)&amp;" uur"&amp;IF((ROUND((D11*40-FLOOR(D11*40,1))*60,0))=0,""," en "&amp;ROUND((D11*40-FLOOR(D11*40,1))*60,0)&amp;" minuten"),"")</f>
        <v/>
      </c>
      <c r="F11" s="224"/>
      <c r="G11" s="9"/>
      <c r="H11" s="9"/>
      <c r="J11" s="189" t="s">
        <v>105</v>
      </c>
      <c r="K11" s="189"/>
      <c r="L11" s="189"/>
      <c r="M11" s="189"/>
      <c r="N11" s="189"/>
    </row>
    <row r="12" spans="1:18" ht="12.75" customHeight="1" thickBot="1" x14ac:dyDescent="0.3">
      <c r="A12" s="220"/>
      <c r="B12" s="220"/>
      <c r="C12" s="220"/>
      <c r="D12" s="222"/>
      <c r="E12" s="223"/>
      <c r="F12" s="224"/>
      <c r="G12" s="9"/>
      <c r="H12" s="9"/>
      <c r="J12" s="189"/>
      <c r="K12" s="189"/>
      <c r="L12" s="189"/>
      <c r="M12" s="189"/>
      <c r="N12" s="189"/>
    </row>
    <row r="13" spans="1:18" ht="12.75" customHeight="1" x14ac:dyDescent="0.25">
      <c r="A13" s="158"/>
      <c r="B13" s="225" t="str">
        <f>IF(C34&gt;0,"Werktijdfactor exclusief verlof duurzame inzetbaarheid:",IF(G31&gt;0,"Werktijdfactor exclusief ouderschapsverlof:",""))</f>
        <v/>
      </c>
      <c r="C13" s="225"/>
      <c r="D13" s="225"/>
      <c r="E13" s="225" t="str">
        <f>IF(C34&gt;0,FLOOR((D11-(G40/1659))*40,1)&amp;" uur"&amp;IF((ROUND(((D11-(G40/1659))*40-FLOOR((D11-(G40/1659))*40,1))*60,0))=0,""," en "&amp;ROUND(((D11-(G40/1659))*40-FLOOR((D11-(G40/1659))*40,1))*60,0)&amp;" minuten"),IF(G31&gt;0,FLOOR((D11-(G40/1659))*40,1)&amp;" uur"&amp;IF((ROUND(((D11-(G40/1659))*40-FLOOR((D11-(G40/1659))*40,1))*60,0))=0,""," en "&amp;ROUND(((D11-(G40/1659))*40-FLOOR((D11-(G40/1659))*40,1))*60,0)&amp;" minuten"),""))</f>
        <v/>
      </c>
      <c r="F13" s="225"/>
      <c r="G13" s="9"/>
      <c r="H13" s="9"/>
      <c r="J13" s="189"/>
      <c r="K13" s="189"/>
      <c r="L13" s="189"/>
      <c r="M13" s="189"/>
      <c r="N13" s="189"/>
    </row>
    <row r="14" spans="1:18" ht="12.75" customHeight="1" x14ac:dyDescent="0.25">
      <c r="A14" s="158"/>
      <c r="B14" s="225"/>
      <c r="C14" s="225"/>
      <c r="D14" s="225"/>
      <c r="E14" s="225"/>
      <c r="F14" s="225"/>
      <c r="G14" s="9"/>
      <c r="H14" s="9"/>
      <c r="J14" s="152"/>
      <c r="K14" s="152"/>
      <c r="L14" s="152"/>
      <c r="M14" s="152"/>
      <c r="N14" s="152"/>
    </row>
    <row r="15" spans="1:18" ht="12.75" customHeight="1" x14ac:dyDescent="0.25">
      <c r="A15" s="158"/>
      <c r="B15" s="158"/>
      <c r="C15" s="158"/>
      <c r="D15" s="159"/>
      <c r="E15" s="159"/>
      <c r="F15" s="159"/>
      <c r="G15" s="9"/>
      <c r="H15" s="9"/>
      <c r="J15" s="196"/>
      <c r="K15" s="196"/>
      <c r="L15" s="196"/>
      <c r="M15" s="196"/>
      <c r="N15" s="196"/>
    </row>
    <row r="16" spans="1:18" ht="12.75" customHeight="1" x14ac:dyDescent="0.25">
      <c r="A16" s="29" t="s">
        <v>107</v>
      </c>
      <c r="B16" s="13"/>
      <c r="C16" s="4">
        <v>38.85</v>
      </c>
      <c r="D16" s="29"/>
      <c r="E16" s="9"/>
      <c r="F16" s="126"/>
      <c r="G16" s="9"/>
      <c r="H16" s="9"/>
      <c r="J16" s="196"/>
      <c r="K16" s="196"/>
      <c r="L16" s="196"/>
      <c r="M16" s="196"/>
      <c r="N16" s="196"/>
    </row>
    <row r="17" spans="1:19" ht="13" thickBot="1" x14ac:dyDescent="0.3">
      <c r="A17" s="30"/>
      <c r="B17" s="30"/>
      <c r="C17" s="30"/>
      <c r="D17" s="30"/>
      <c r="E17" s="30"/>
      <c r="F17" s="30"/>
      <c r="G17" s="30"/>
      <c r="H17" s="30"/>
      <c r="I17" s="31"/>
      <c r="J17" s="119"/>
      <c r="K17" s="119"/>
      <c r="L17" s="119"/>
      <c r="M17" s="119"/>
      <c r="N17" s="119"/>
    </row>
    <row r="18" spans="1:19" ht="12.5" x14ac:dyDescent="0.25">
      <c r="A18" s="9"/>
      <c r="B18" s="9"/>
      <c r="C18" s="9"/>
      <c r="D18" s="9"/>
      <c r="E18" s="9"/>
      <c r="F18" s="9"/>
      <c r="G18" s="9"/>
      <c r="H18" s="9"/>
      <c r="J18" s="219"/>
      <c r="K18" s="219"/>
      <c r="L18" s="219"/>
      <c r="M18" s="219"/>
      <c r="N18" s="219"/>
    </row>
    <row r="19" spans="1:19" ht="12.75" customHeight="1" x14ac:dyDescent="0.25">
      <c r="A19" s="86"/>
      <c r="B19" s="190" t="s">
        <v>117</v>
      </c>
      <c r="C19" s="190"/>
      <c r="D19" s="9"/>
      <c r="E19" s="9"/>
      <c r="F19" s="86"/>
      <c r="G19" s="86"/>
      <c r="H19" s="86"/>
      <c r="J19" s="91"/>
      <c r="K19" s="91"/>
      <c r="L19" s="91"/>
      <c r="M19" s="91"/>
      <c r="N19" s="91"/>
    </row>
    <row r="20" spans="1:19" ht="12.5" x14ac:dyDescent="0.25">
      <c r="A20" s="34"/>
      <c r="B20" s="35" t="s">
        <v>13</v>
      </c>
      <c r="C20" s="35" t="s">
        <v>14</v>
      </c>
      <c r="D20" s="9"/>
      <c r="E20" s="13" t="s">
        <v>118</v>
      </c>
      <c r="F20" s="13"/>
      <c r="G20" s="13"/>
      <c r="H20" s="29"/>
      <c r="J20" s="44"/>
      <c r="K20" s="44"/>
      <c r="L20" s="44"/>
      <c r="M20" s="44"/>
      <c r="N20" s="44"/>
      <c r="P20" s="166">
        <f ca="1">YEAR(NOW())-YEAR(C32)</f>
        <v>123</v>
      </c>
      <c r="Q20">
        <f ca="1">YEAR(NOW())</f>
        <v>2023</v>
      </c>
    </row>
    <row r="21" spans="1:19" ht="12.75" customHeight="1" x14ac:dyDescent="0.25">
      <c r="A21" s="127" t="s">
        <v>15</v>
      </c>
      <c r="B21" s="6"/>
      <c r="C21" s="2"/>
      <c r="D21" s="9"/>
      <c r="E21" s="151" t="s">
        <v>39</v>
      </c>
      <c r="F21" s="13"/>
      <c r="G21" s="22"/>
      <c r="H21" s="92"/>
      <c r="J21" s="189" t="s">
        <v>119</v>
      </c>
      <c r="K21" s="189"/>
      <c r="L21" s="189"/>
      <c r="M21" s="189"/>
      <c r="N21" s="189"/>
      <c r="P21" s="45">
        <v>21459</v>
      </c>
      <c r="Q21" s="160">
        <f ca="1">DATE((Q20-57),MONTH(C32),DAY(C32))</f>
        <v>24107</v>
      </c>
    </row>
    <row r="22" spans="1:19" ht="12.5" x14ac:dyDescent="0.25">
      <c r="A22" s="127" t="s">
        <v>16</v>
      </c>
      <c r="B22" s="6"/>
      <c r="C22" s="2"/>
      <c r="D22" s="9"/>
      <c r="E22" s="151" t="s">
        <v>39</v>
      </c>
      <c r="F22" s="13"/>
      <c r="G22" s="22"/>
      <c r="H22" s="92"/>
      <c r="J22" s="189"/>
      <c r="K22" s="189"/>
      <c r="L22" s="189"/>
      <c r="M22" s="189"/>
      <c r="N22" s="189"/>
      <c r="P22" s="45"/>
      <c r="Q22" s="12" t="str">
        <f>IF(C32="","",IF(C32&lt;=P21,"Overgangsregeling 56+",IF(C32&lt;=Q21,"Basis en bijzonder budget","")))</f>
        <v/>
      </c>
    </row>
    <row r="23" spans="1:19" ht="12.5" x14ac:dyDescent="0.25">
      <c r="A23" s="127" t="s">
        <v>17</v>
      </c>
      <c r="B23" s="6"/>
      <c r="C23" s="2"/>
      <c r="D23" s="9"/>
      <c r="E23" s="151" t="s">
        <v>41</v>
      </c>
      <c r="F23" s="13"/>
      <c r="G23" s="22"/>
      <c r="H23" s="92"/>
      <c r="J23" s="189"/>
      <c r="K23" s="189"/>
      <c r="L23" s="189"/>
      <c r="M23" s="189"/>
      <c r="N23" s="189"/>
      <c r="Q23" s="12" t="str">
        <f>IF(C32="","",IF(C32&lt;=P21,"Basis en bijzonder budget",IF(C32&lt;=Q21,"Enkel basis budget","")))</f>
        <v/>
      </c>
    </row>
    <row r="24" spans="1:19" ht="12.75" customHeight="1" x14ac:dyDescent="0.25">
      <c r="A24" s="127" t="s">
        <v>19</v>
      </c>
      <c r="B24" s="6"/>
      <c r="C24" s="2"/>
      <c r="D24" s="9"/>
      <c r="E24" s="151" t="s">
        <v>42</v>
      </c>
      <c r="F24" s="13"/>
      <c r="G24" s="22"/>
      <c r="H24" s="92"/>
      <c r="J24" s="189"/>
      <c r="K24" s="189"/>
      <c r="L24" s="189"/>
      <c r="M24" s="189"/>
      <c r="N24" s="189"/>
      <c r="Q24" s="12" t="str">
        <f>IF(C32="","",IF(C32&lt;=P21,"Enkel basis budget",""))</f>
        <v/>
      </c>
    </row>
    <row r="25" spans="1:19" ht="12.75" customHeight="1" x14ac:dyDescent="0.25">
      <c r="A25" s="127" t="s">
        <v>20</v>
      </c>
      <c r="B25" s="6"/>
      <c r="C25" s="2"/>
      <c r="D25" s="9"/>
      <c r="E25" s="151" t="s">
        <v>43</v>
      </c>
      <c r="F25" s="13"/>
      <c r="G25" s="22"/>
      <c r="H25" s="92"/>
      <c r="J25" s="196" t="s">
        <v>120</v>
      </c>
      <c r="K25" s="196"/>
      <c r="L25" s="196"/>
      <c r="M25" s="196"/>
      <c r="N25" s="196"/>
    </row>
    <row r="26" spans="1:19" ht="12.75" customHeight="1" x14ac:dyDescent="0.25">
      <c r="A26" s="128" t="s">
        <v>21</v>
      </c>
      <c r="B26" s="149">
        <f>SUM(B21:B25)</f>
        <v>0</v>
      </c>
      <c r="C26" s="149">
        <f>SUM(C21:C25)</f>
        <v>0</v>
      </c>
      <c r="E26" s="13" t="s">
        <v>21</v>
      </c>
      <c r="F26" s="13"/>
      <c r="G26" s="60">
        <f>SUM(G21:G25)</f>
        <v>0</v>
      </c>
      <c r="H26" s="13"/>
      <c r="J26" s="196"/>
      <c r="K26" s="196"/>
      <c r="L26" s="196"/>
      <c r="M26" s="196"/>
      <c r="N26" s="196"/>
      <c r="P26" s="12" t="s">
        <v>30</v>
      </c>
    </row>
    <row r="27" spans="1:19" ht="13" thickBot="1" x14ac:dyDescent="0.3">
      <c r="A27" s="49"/>
      <c r="B27" s="49"/>
      <c r="C27" s="49"/>
      <c r="D27" s="50"/>
      <c r="E27" s="49"/>
      <c r="F27" s="49"/>
      <c r="G27" s="49"/>
      <c r="H27" s="49"/>
      <c r="I27" s="51"/>
      <c r="J27" s="197"/>
      <c r="K27" s="197"/>
      <c r="L27" s="197"/>
      <c r="M27" s="197"/>
      <c r="N27" s="197"/>
      <c r="P27" s="12" t="s">
        <v>32</v>
      </c>
    </row>
    <row r="28" spans="1:19" ht="12.5" x14ac:dyDescent="0.25">
      <c r="A28" s="13"/>
      <c r="B28" s="13"/>
      <c r="C28" s="13"/>
      <c r="D28" s="9"/>
      <c r="E28" s="13"/>
      <c r="F28" s="13"/>
      <c r="G28" s="13"/>
      <c r="H28" s="13"/>
      <c r="I28" s="43"/>
    </row>
    <row r="29" spans="1:19" ht="12.75" customHeight="1" x14ac:dyDescent="0.25">
      <c r="A29" s="13" t="s">
        <v>28</v>
      </c>
      <c r="B29" s="13"/>
      <c r="C29" s="13"/>
      <c r="D29" s="9"/>
      <c r="E29" s="13"/>
      <c r="F29" s="13"/>
      <c r="G29" s="13"/>
      <c r="H29" s="13"/>
      <c r="J29" s="172" t="s">
        <v>121</v>
      </c>
      <c r="K29" s="172"/>
      <c r="L29" s="172"/>
      <c r="M29" s="172"/>
      <c r="N29" s="172"/>
      <c r="P29" s="56" t="s">
        <v>36</v>
      </c>
    </row>
    <row r="30" spans="1:19" ht="12.5" x14ac:dyDescent="0.25">
      <c r="A30" s="29" t="s">
        <v>122</v>
      </c>
      <c r="B30" s="13"/>
      <c r="C30" s="216" t="s">
        <v>123</v>
      </c>
      <c r="D30" s="217"/>
      <c r="E30" s="54" t="str">
        <f>IF(C30="ja","Aantal uren verlof per jaar","")</f>
        <v/>
      </c>
      <c r="G30" s="5">
        <v>0</v>
      </c>
      <c r="H30" s="13"/>
      <c r="J30" s="172"/>
      <c r="K30" s="172"/>
      <c r="L30" s="172"/>
      <c r="M30" s="172"/>
      <c r="N30" s="172"/>
      <c r="P30" s="56" t="s">
        <v>37</v>
      </c>
      <c r="R30" s="105">
        <f>G31*1659</f>
        <v>0</v>
      </c>
      <c r="S30" s="105"/>
    </row>
    <row r="31" spans="1:19" ht="12.5" x14ac:dyDescent="0.25">
      <c r="A31" s="29" t="s">
        <v>33</v>
      </c>
      <c r="B31" s="13"/>
      <c r="C31" s="216"/>
      <c r="D31" s="217"/>
      <c r="E31" s="54" t="str">
        <f>IF(C31="Ja","Werktijdfactor verlof","")</f>
        <v/>
      </c>
      <c r="F31" s="9"/>
      <c r="G31" s="5"/>
      <c r="H31" s="13"/>
      <c r="J31" s="146"/>
      <c r="K31" s="146"/>
      <c r="L31" s="146"/>
      <c r="M31" s="146"/>
      <c r="N31" s="146"/>
      <c r="P31" s="104">
        <v>0</v>
      </c>
      <c r="Q31" s="105"/>
      <c r="R31" s="106" t="e">
        <f>P31/SUM($P$31:$P$35)</f>
        <v>#DIV/0!</v>
      </c>
      <c r="S31" s="105" t="e">
        <f>R31*$R$30</f>
        <v>#DIV/0!</v>
      </c>
    </row>
    <row r="32" spans="1:19" ht="12.75" customHeight="1" x14ac:dyDescent="0.25">
      <c r="A32" s="29" t="s">
        <v>34</v>
      </c>
      <c r="B32" s="13"/>
      <c r="C32" s="210"/>
      <c r="D32" s="211"/>
      <c r="E32" s="218" t="str">
        <f>IF(C34&gt;0,"Verdeling uren verlof duurz. inz.",IF(G31&gt;0,"Verdeling uren ouderschapsverlof",""))</f>
        <v/>
      </c>
      <c r="F32" s="177"/>
      <c r="G32" s="177"/>
      <c r="H32" s="177"/>
      <c r="I32" s="43"/>
      <c r="J32" s="178" t="s">
        <v>35</v>
      </c>
      <c r="K32" s="178"/>
      <c r="L32" s="178"/>
      <c r="M32" s="178"/>
      <c r="N32" s="178"/>
      <c r="P32" s="105">
        <f>ROUND(Q45*F16,0)</f>
        <v>0</v>
      </c>
      <c r="Q32" s="104">
        <f>P31+P32</f>
        <v>0</v>
      </c>
      <c r="R32" s="106" t="e">
        <f>P32/SUM($P$31:$P$35)</f>
        <v>#DIV/0!</v>
      </c>
      <c r="S32" s="105" t="e">
        <f>R32*$R$30</f>
        <v>#DIV/0!</v>
      </c>
    </row>
    <row r="33" spans="1:20" ht="12.5" x14ac:dyDescent="0.25">
      <c r="A33" s="9" t="str">
        <f>IF($C$32="","",IF($C$32&lt;$P$21,"Recht duurzame inzetbaarheid",IF($C$32&lt;=$Q$21,"Recht duurzame inzetbaarheid","")))</f>
        <v/>
      </c>
      <c r="B33" s="13"/>
      <c r="C33" s="179"/>
      <c r="D33" s="179"/>
      <c r="E33" s="35" t="str">
        <f>IF(OR(C34&gt;0,G31&gt;0),"Lesuren","")</f>
        <v/>
      </c>
      <c r="F33" s="35" t="str">
        <f>IF(OR(C34&gt;0,G31&gt;0),"v/n-werk","")</f>
        <v/>
      </c>
      <c r="G33" s="35" t="str">
        <f>IF(OR(C34&gt;0,G31&gt;0),"Taakuren","")</f>
        <v/>
      </c>
      <c r="H33" s="57"/>
      <c r="I33" s="43"/>
      <c r="J33" s="178"/>
      <c r="K33" s="178"/>
      <c r="L33" s="178"/>
      <c r="M33" s="178"/>
      <c r="N33" s="178"/>
      <c r="P33" s="104">
        <f>ROUND(D11*2*41.475,0)</f>
        <v>0</v>
      </c>
      <c r="Q33" s="105"/>
      <c r="R33" s="106" t="e">
        <f>P33/SUM($P$31:$P$35)</f>
        <v>#DIV/0!</v>
      </c>
      <c r="S33" s="105" t="e">
        <f>R33*$R$30</f>
        <v>#DIV/0!</v>
      </c>
    </row>
    <row r="34" spans="1:20" ht="12.5" x14ac:dyDescent="0.25">
      <c r="A34" s="9" t="str">
        <f>IF(C33="","",IF(C33="Overgangsregeling 52+","Aantal uur verlof",IF(C33="Overgangsregeling 56+","Aantal uur verlof",IF(C33="Basis en bijzonder budget","Aantal uur verlof",""))))</f>
        <v/>
      </c>
      <c r="B34" s="13"/>
      <c r="C34" s="151"/>
      <c r="D34" s="57" t="str">
        <f>IF(C33="Overgangsregeling 56+",ROUND(170*D11,0)&amp;" - "&amp;ROUND(340*D11,0),IF(C33="Overgangsregeling 52+","0 - "&amp;ROUND(170*D11,0),IF(C33="Basis en bijzonder budget","0 - "&amp;ROUND(170*D11,0),"")))</f>
        <v/>
      </c>
      <c r="E34" s="35" t="str">
        <f>IFERROR(ROUND(IF(C34&gt;0,S45,IF(G31&gt;0,R30*R31,"")),0),"")</f>
        <v/>
      </c>
      <c r="F34" s="35" t="str">
        <f>IFERROR(ROUND(IF(C34&gt;0,S46,IF(G31&gt;0,R32*R30,"")),0),"")</f>
        <v/>
      </c>
      <c r="G34" s="35" t="str">
        <f>IFERROR(ROUND(IF(C34&gt;0,S47,IF(G31&gt;0,R35*R30,"")),0),"")</f>
        <v/>
      </c>
      <c r="H34" s="57"/>
      <c r="I34" s="43"/>
      <c r="J34" s="150"/>
      <c r="K34" s="150"/>
      <c r="L34" s="150"/>
      <c r="M34" s="150"/>
      <c r="N34" s="150"/>
      <c r="P34" s="104">
        <f>ROUND(IF(A34="",ROUND(D11*40,0),ROUND(VLOOKUP(C33,$P$39:$Q$43,2,FALSE)*D11,0))-C34,0)</f>
        <v>0</v>
      </c>
      <c r="Q34" s="105"/>
      <c r="R34" s="106" t="e">
        <f>P34/SUM($P$31:$P$35)</f>
        <v>#DIV/0!</v>
      </c>
      <c r="S34" s="105" t="e">
        <f>R34*$R$30</f>
        <v>#DIV/0!</v>
      </c>
    </row>
    <row r="35" spans="1:20" ht="13" thickBot="1" x14ac:dyDescent="0.3">
      <c r="A35" s="49"/>
      <c r="B35" s="49"/>
      <c r="C35" s="213" t="str">
        <f>IF(G31&gt;0,"Professionalisering","")</f>
        <v/>
      </c>
      <c r="D35" s="213"/>
      <c r="E35" s="109" t="str">
        <f>IFERROR(ROUND(IF(G31&gt;0,R33*R30,""),0),"")</f>
        <v/>
      </c>
      <c r="F35" s="108" t="str">
        <f>IF(G31&gt;0,"Duurz. inzetb.","")</f>
        <v/>
      </c>
      <c r="G35" s="109" t="str">
        <f>IFERROR(ROUND(IF(G31&gt;0,R34*R30,""),0),"")</f>
        <v/>
      </c>
      <c r="H35" s="49"/>
      <c r="I35" s="51"/>
      <c r="J35" s="49"/>
      <c r="K35" s="49"/>
      <c r="L35" s="49"/>
      <c r="M35" s="49"/>
      <c r="N35" s="49"/>
      <c r="O35" s="13"/>
      <c r="P35" s="105">
        <f>IFERROR(ROUND(Q47-SUM(C38:C83),0),0)</f>
        <v>0</v>
      </c>
      <c r="Q35" s="105"/>
      <c r="R35" s="106" t="e">
        <f>P35/SUM($P$31:$P$35)</f>
        <v>#DIV/0!</v>
      </c>
      <c r="S35" s="105" t="e">
        <f>R35*$R$30</f>
        <v>#DIV/0!</v>
      </c>
    </row>
    <row r="36" spans="1:20" ht="12.5" x14ac:dyDescent="0.25">
      <c r="A36" s="13"/>
      <c r="B36" s="13"/>
      <c r="C36" s="13"/>
      <c r="D36" s="9"/>
      <c r="E36" s="13"/>
      <c r="F36" s="13"/>
      <c r="G36" s="18"/>
      <c r="H36" s="18"/>
      <c r="J36" s="21"/>
      <c r="K36" s="21"/>
      <c r="L36" s="21"/>
      <c r="M36" s="21"/>
      <c r="N36" s="21"/>
      <c r="P36" s="12" t="str">
        <f>IF(C33="Overgangsregeling 56+",ROUND(340*LEFT(#REF!,2)/40,0),IF(C33="Overgangsregeling 52+",ROUND(170*LEFT(#REF!,2)/40,0),IF(C33="Basis en bijzonder budget",ROUND(170*LEFT(#REF!,2)/40,0),"")))</f>
        <v/>
      </c>
    </row>
    <row r="37" spans="1:20" ht="12.5" x14ac:dyDescent="0.25">
      <c r="A37" s="33" t="s">
        <v>57</v>
      </c>
      <c r="C37" s="74"/>
      <c r="D37" s="9"/>
      <c r="E37" s="65" t="s">
        <v>46</v>
      </c>
      <c r="F37" s="13"/>
      <c r="G37" s="18"/>
      <c r="H37" s="18"/>
      <c r="J37" s="21"/>
      <c r="K37" s="21"/>
      <c r="L37" s="21"/>
      <c r="M37" s="21"/>
      <c r="N37" s="21"/>
    </row>
    <row r="38" spans="1:20" ht="12.5" x14ac:dyDescent="0.25">
      <c r="A38" s="7" t="s">
        <v>124</v>
      </c>
      <c r="B38" s="9"/>
      <c r="C38" s="129">
        <f>G26</f>
        <v>0</v>
      </c>
      <c r="D38" s="9"/>
      <c r="E38" s="66" t="s">
        <v>49</v>
      </c>
      <c r="F38" s="18"/>
      <c r="G38" s="69">
        <f>IFERROR(ROUND(D11*2*41.475-S33,0),0)</f>
        <v>0</v>
      </c>
      <c r="H38" s="18"/>
      <c r="J38" s="21"/>
      <c r="K38" s="21"/>
      <c r="L38" s="21"/>
      <c r="M38" s="21"/>
      <c r="N38" s="21"/>
    </row>
    <row r="39" spans="1:20" ht="12.5" x14ac:dyDescent="0.25">
      <c r="A39" s="7" t="s">
        <v>125</v>
      </c>
      <c r="B39" s="9"/>
      <c r="C39" s="129">
        <f>ROUND(C16*C26-SUM(P33:P34),0)</f>
        <v>0</v>
      </c>
      <c r="D39" s="13"/>
      <c r="E39" s="66" t="s">
        <v>52</v>
      </c>
      <c r="F39" s="18"/>
      <c r="G39" s="69">
        <f>IFERROR(ROUND(IF(A34="",ROUND(D11*40,0),ROUND(VLOOKUP(C33,$P$39:$Q$43,2,FALSE)*D11,0))-C34-S34,0),0)</f>
        <v>0</v>
      </c>
      <c r="H39" s="18"/>
      <c r="J39" s="215" t="s">
        <v>126</v>
      </c>
      <c r="K39" s="215"/>
      <c r="L39" s="215"/>
      <c r="M39" s="215"/>
      <c r="N39" s="215"/>
      <c r="P39" s="12" t="s">
        <v>47</v>
      </c>
      <c r="Q39" s="12">
        <v>170</v>
      </c>
    </row>
    <row r="40" spans="1:20" ht="13" thickBot="1" x14ac:dyDescent="0.3">
      <c r="A40" s="7" t="s">
        <v>59</v>
      </c>
      <c r="B40" s="9"/>
      <c r="C40" s="15"/>
      <c r="D40" s="67"/>
      <c r="E40" s="9" t="str">
        <f>IF(C34&gt;0,"Verlof duurzame inzetbaarheid",IF(G31&gt;0,"Ouderschapsverlof",""))</f>
        <v/>
      </c>
      <c r="F40" s="18"/>
      <c r="G40" s="69">
        <f>ROUND(IF(E40="",0,IF(C34&gt;0,C34,R30)),0)</f>
        <v>0</v>
      </c>
      <c r="H40" s="69"/>
      <c r="J40" s="215"/>
      <c r="K40" s="215"/>
      <c r="L40" s="215"/>
      <c r="M40" s="215"/>
      <c r="N40" s="215"/>
      <c r="P40" s="12" t="s">
        <v>50</v>
      </c>
      <c r="Q40" s="12">
        <v>340</v>
      </c>
    </row>
    <row r="41" spans="1:20" ht="13" thickBot="1" x14ac:dyDescent="0.3">
      <c r="A41" s="24" t="s">
        <v>60</v>
      </c>
      <c r="B41" s="9"/>
      <c r="C41" s="15"/>
      <c r="D41" s="67"/>
      <c r="E41" s="13" t="s">
        <v>21</v>
      </c>
      <c r="F41" s="18"/>
      <c r="G41" s="76">
        <f>SUM(G38:G40)</f>
        <v>0</v>
      </c>
      <c r="H41" s="69"/>
      <c r="J41" s="215"/>
      <c r="K41" s="215"/>
      <c r="L41" s="215"/>
      <c r="M41" s="215"/>
      <c r="N41" s="215"/>
      <c r="P41" s="12" t="s">
        <v>53</v>
      </c>
      <c r="Q41" s="12">
        <v>170</v>
      </c>
    </row>
    <row r="42" spans="1:20" ht="12.5" x14ac:dyDescent="0.25">
      <c r="A42" s="24" t="s">
        <v>61</v>
      </c>
      <c r="B42" s="9"/>
      <c r="C42" s="15"/>
      <c r="D42" s="67"/>
      <c r="E42" s="18"/>
      <c r="F42" s="18"/>
      <c r="G42" s="18"/>
      <c r="H42" s="69"/>
      <c r="J42" s="215"/>
      <c r="K42" s="215"/>
      <c r="L42" s="215"/>
      <c r="M42" s="215"/>
      <c r="N42" s="215"/>
    </row>
    <row r="43" spans="1:20" ht="12.5" x14ac:dyDescent="0.25">
      <c r="A43" s="151" t="s">
        <v>64</v>
      </c>
      <c r="B43" s="9"/>
      <c r="C43" s="15"/>
      <c r="D43" s="16"/>
      <c r="E43" s="168" t="str">
        <f>IF(C84&lt;0,"LET OP:","")</f>
        <v/>
      </c>
      <c r="F43" s="168"/>
      <c r="G43" s="9"/>
      <c r="H43" s="77"/>
      <c r="J43" s="215"/>
      <c r="K43" s="215"/>
      <c r="L43" s="215"/>
      <c r="M43" s="215"/>
      <c r="N43" s="215"/>
      <c r="P43" s="56" t="s">
        <v>56</v>
      </c>
      <c r="Q43" s="56">
        <v>40</v>
      </c>
    </row>
    <row r="44" spans="1:20" ht="12.5" x14ac:dyDescent="0.25">
      <c r="A44" s="151" t="s">
        <v>64</v>
      </c>
      <c r="B44" s="9"/>
      <c r="C44" s="15"/>
      <c r="D44" s="13"/>
      <c r="E44" s="168"/>
      <c r="F44" s="168"/>
      <c r="G44" s="9"/>
      <c r="H44" s="18"/>
      <c r="J44" s="215"/>
      <c r="K44" s="215"/>
      <c r="L44" s="215"/>
      <c r="M44" s="215"/>
      <c r="N44" s="215"/>
    </row>
    <row r="45" spans="1:20" ht="12.5" x14ac:dyDescent="0.25">
      <c r="A45" s="151" t="s">
        <v>64</v>
      </c>
      <c r="B45" s="9"/>
      <c r="C45" s="15"/>
      <c r="D45" s="204" t="str">
        <f>IF(C84&lt;0,"Het is niet mogelijk de ingevulde werkzaamheden binnen de aangegeven werktijdfactor te voldoen","")</f>
        <v/>
      </c>
      <c r="E45" s="170"/>
      <c r="F45" s="170"/>
      <c r="G45" s="170"/>
      <c r="H45" s="170"/>
      <c r="J45" s="21"/>
      <c r="K45" s="21"/>
      <c r="L45" s="21"/>
      <c r="M45" s="21"/>
      <c r="N45" s="21"/>
      <c r="P45" s="66" t="s">
        <v>48</v>
      </c>
      <c r="Q45" s="78">
        <v>0</v>
      </c>
      <c r="S45" s="78">
        <v>0</v>
      </c>
      <c r="T45" s="12" t="e">
        <f>Q45/SUM($S$45:$S$47)</f>
        <v>#DIV/0!</v>
      </c>
    </row>
    <row r="46" spans="1:20" ht="12.5" x14ac:dyDescent="0.25">
      <c r="A46" s="151" t="s">
        <v>64</v>
      </c>
      <c r="B46" s="9"/>
      <c r="C46" s="15"/>
      <c r="D46" s="204"/>
      <c r="E46" s="170"/>
      <c r="F46" s="170"/>
      <c r="G46" s="170"/>
      <c r="H46" s="170"/>
      <c r="J46" s="21"/>
      <c r="K46" s="21"/>
      <c r="L46" s="21"/>
      <c r="M46" s="21"/>
      <c r="N46" s="21"/>
      <c r="P46" s="66" t="s">
        <v>51</v>
      </c>
      <c r="Q46" s="12">
        <v>0</v>
      </c>
      <c r="R46" s="78">
        <f>Q45+Q46</f>
        <v>0</v>
      </c>
      <c r="S46" s="78">
        <v>0</v>
      </c>
      <c r="T46" s="12" t="e">
        <f t="shared" ref="T46:T47" si="0">Q46/SUM($S$45:$S$47)</f>
        <v>#DIV/0!</v>
      </c>
    </row>
    <row r="47" spans="1:20" ht="12.75" customHeight="1" x14ac:dyDescent="0.25">
      <c r="A47" s="151" t="s">
        <v>64</v>
      </c>
      <c r="B47" s="9"/>
      <c r="C47" s="15"/>
      <c r="D47" s="16"/>
      <c r="E47" s="171" t="s">
        <v>63</v>
      </c>
      <c r="F47" s="171"/>
      <c r="G47" s="171"/>
      <c r="H47" s="171"/>
      <c r="J47" s="21"/>
      <c r="K47" s="21"/>
      <c r="L47" s="21"/>
      <c r="M47" s="21"/>
      <c r="N47" s="21"/>
      <c r="P47" s="56" t="s">
        <v>114</v>
      </c>
      <c r="Q47" s="12">
        <f>ROUND(1659*D11-R46-ROUND(IF(A33="",ROUND(D11*40,0),ROUND(VLOOKUP(C33,$P$39:$Q$43,2,FALSE)*D11,0))-C34,0)-ROUND(D11*2*41.475,0),0)</f>
        <v>0</v>
      </c>
      <c r="S47" s="78">
        <f>+Q47-C85</f>
        <v>0</v>
      </c>
      <c r="T47" s="12" t="e">
        <f t="shared" si="0"/>
        <v>#DIV/0!</v>
      </c>
    </row>
    <row r="48" spans="1:20" ht="12.5" x14ac:dyDescent="0.25">
      <c r="A48" s="151" t="s">
        <v>64</v>
      </c>
      <c r="B48" s="9"/>
      <c r="C48" s="15"/>
      <c r="D48" s="16"/>
      <c r="E48" s="16"/>
      <c r="F48" s="133" t="s">
        <v>49</v>
      </c>
      <c r="G48" s="134"/>
      <c r="H48" s="135" t="s">
        <v>52</v>
      </c>
      <c r="J48" s="21"/>
      <c r="K48" s="21"/>
      <c r="L48" s="21"/>
      <c r="M48" s="21"/>
      <c r="N48" s="21"/>
    </row>
    <row r="49" spans="1:18" ht="12.5" x14ac:dyDescent="0.25">
      <c r="A49" s="151" t="s">
        <v>64</v>
      </c>
      <c r="B49" s="9"/>
      <c r="C49" s="15"/>
      <c r="D49" s="154"/>
      <c r="E49" s="136" t="s">
        <v>61</v>
      </c>
      <c r="F49" s="15"/>
      <c r="G49" s="137" t="s">
        <v>65</v>
      </c>
      <c r="H49" s="15"/>
      <c r="J49" s="21"/>
      <c r="K49" s="21"/>
      <c r="L49" s="21"/>
      <c r="M49" s="21"/>
      <c r="N49" s="21"/>
      <c r="Q49" s="12">
        <f>1659*D11</f>
        <v>0</v>
      </c>
      <c r="R49" s="78"/>
    </row>
    <row r="50" spans="1:18" ht="12.5" x14ac:dyDescent="0.25">
      <c r="A50" s="151" t="s">
        <v>64</v>
      </c>
      <c r="B50" s="9"/>
      <c r="C50" s="15"/>
      <c r="D50" s="16"/>
      <c r="E50" s="136" t="s">
        <v>66</v>
      </c>
      <c r="F50" s="15"/>
      <c r="G50" s="137" t="s">
        <v>67</v>
      </c>
      <c r="H50" s="15"/>
      <c r="J50" s="21"/>
      <c r="K50" s="21"/>
      <c r="L50" s="21"/>
      <c r="M50" s="21"/>
      <c r="N50" s="21"/>
    </row>
    <row r="51" spans="1:18" ht="12.5" x14ac:dyDescent="0.25">
      <c r="A51" s="151" t="s">
        <v>64</v>
      </c>
      <c r="B51" s="9"/>
      <c r="C51" s="15"/>
      <c r="E51" s="138" t="s">
        <v>64</v>
      </c>
      <c r="F51" s="15"/>
      <c r="G51" s="137" t="s">
        <v>68</v>
      </c>
      <c r="H51" s="15"/>
      <c r="J51" s="21"/>
      <c r="K51" s="21"/>
      <c r="L51" s="21"/>
      <c r="M51" s="21"/>
      <c r="N51" s="21"/>
    </row>
    <row r="52" spans="1:18" ht="12.5" x14ac:dyDescent="0.25">
      <c r="A52" s="151" t="s">
        <v>64</v>
      </c>
      <c r="B52" s="9"/>
      <c r="C52" s="15"/>
      <c r="D52" s="9"/>
      <c r="E52" s="138" t="s">
        <v>64</v>
      </c>
      <c r="F52" s="15"/>
      <c r="G52" s="138" t="s">
        <v>64</v>
      </c>
      <c r="H52" s="15"/>
      <c r="J52" s="21"/>
      <c r="K52" s="21"/>
      <c r="L52" s="21"/>
      <c r="M52" s="21"/>
      <c r="N52" s="21"/>
    </row>
    <row r="53" spans="1:18" ht="12.5" hidden="1" x14ac:dyDescent="0.25">
      <c r="A53" s="151" t="s">
        <v>64</v>
      </c>
      <c r="B53" s="9"/>
      <c r="C53" s="15"/>
      <c r="D53" s="9"/>
      <c r="E53" s="138" t="s">
        <v>64</v>
      </c>
      <c r="F53" s="15"/>
      <c r="G53" s="138" t="s">
        <v>64</v>
      </c>
      <c r="H53" s="15"/>
      <c r="J53" s="21"/>
      <c r="K53" s="21"/>
      <c r="L53" s="21"/>
      <c r="M53" s="21"/>
      <c r="N53" s="21"/>
    </row>
    <row r="54" spans="1:18" ht="12.5" hidden="1" x14ac:dyDescent="0.25">
      <c r="A54" s="151" t="s">
        <v>64</v>
      </c>
      <c r="B54" s="9"/>
      <c r="C54" s="15"/>
      <c r="D54" s="9"/>
      <c r="E54" s="138" t="s">
        <v>64</v>
      </c>
      <c r="F54" s="15"/>
      <c r="G54" s="138" t="s">
        <v>64</v>
      </c>
      <c r="H54" s="15"/>
      <c r="J54" s="21"/>
      <c r="K54" s="21"/>
      <c r="L54" s="21"/>
      <c r="M54" s="21"/>
      <c r="N54" s="21"/>
    </row>
    <row r="55" spans="1:18" ht="12.5" hidden="1" x14ac:dyDescent="0.25">
      <c r="A55" s="151" t="s">
        <v>64</v>
      </c>
      <c r="B55" s="9"/>
      <c r="C55" s="15"/>
      <c r="D55" s="9"/>
      <c r="E55" s="138" t="s">
        <v>64</v>
      </c>
      <c r="F55" s="15"/>
      <c r="G55" s="138" t="s">
        <v>64</v>
      </c>
      <c r="H55" s="15"/>
      <c r="J55" s="21"/>
      <c r="K55" s="21"/>
      <c r="L55" s="21"/>
      <c r="M55" s="21"/>
      <c r="N55" s="21"/>
    </row>
    <row r="56" spans="1:18" ht="12.5" hidden="1" x14ac:dyDescent="0.25">
      <c r="A56" s="151" t="s">
        <v>64</v>
      </c>
      <c r="B56" s="9"/>
      <c r="C56" s="15"/>
      <c r="D56" s="9"/>
      <c r="E56" s="138" t="s">
        <v>64</v>
      </c>
      <c r="F56" s="15"/>
      <c r="G56" s="138" t="s">
        <v>64</v>
      </c>
      <c r="H56" s="15"/>
      <c r="J56" s="21"/>
      <c r="K56" s="21"/>
      <c r="L56" s="21"/>
      <c r="M56" s="21"/>
      <c r="N56" s="21"/>
    </row>
    <row r="57" spans="1:18" ht="12.5" hidden="1" x14ac:dyDescent="0.25">
      <c r="A57" s="151" t="s">
        <v>64</v>
      </c>
      <c r="B57" s="9"/>
      <c r="C57" s="15"/>
      <c r="D57" s="9"/>
      <c r="E57" s="138" t="s">
        <v>64</v>
      </c>
      <c r="F57" s="15"/>
      <c r="G57" s="138" t="s">
        <v>64</v>
      </c>
      <c r="H57" s="15"/>
      <c r="J57" s="21"/>
      <c r="K57" s="21"/>
      <c r="L57" s="21"/>
      <c r="M57" s="21"/>
      <c r="N57" s="21"/>
    </row>
    <row r="58" spans="1:18" ht="12.5" hidden="1" x14ac:dyDescent="0.25">
      <c r="A58" s="151" t="s">
        <v>64</v>
      </c>
      <c r="B58" s="9"/>
      <c r="C58" s="15"/>
      <c r="D58" s="9"/>
      <c r="E58" s="138" t="s">
        <v>64</v>
      </c>
      <c r="F58" s="15"/>
      <c r="G58" s="138" t="s">
        <v>64</v>
      </c>
      <c r="H58" s="15"/>
      <c r="J58" s="21"/>
      <c r="K58" s="21"/>
      <c r="L58" s="21"/>
      <c r="M58" s="21"/>
      <c r="N58" s="21"/>
    </row>
    <row r="59" spans="1:18" ht="12.5" hidden="1" x14ac:dyDescent="0.25">
      <c r="A59" s="151" t="s">
        <v>64</v>
      </c>
      <c r="B59" s="9"/>
      <c r="C59" s="15"/>
      <c r="D59" s="9"/>
      <c r="E59" s="138" t="s">
        <v>64</v>
      </c>
      <c r="F59" s="15"/>
      <c r="G59" s="138" t="s">
        <v>64</v>
      </c>
      <c r="H59" s="15"/>
      <c r="J59" s="21"/>
      <c r="K59" s="21"/>
      <c r="L59" s="21"/>
      <c r="M59" s="21"/>
      <c r="N59" s="21"/>
    </row>
    <row r="60" spans="1:18" ht="12.5" hidden="1" x14ac:dyDescent="0.25">
      <c r="A60" s="151" t="s">
        <v>64</v>
      </c>
      <c r="B60" s="9"/>
      <c r="C60" s="15"/>
      <c r="D60" s="9"/>
      <c r="E60" s="138" t="s">
        <v>64</v>
      </c>
      <c r="F60" s="15"/>
      <c r="G60" s="138" t="s">
        <v>64</v>
      </c>
      <c r="H60" s="15"/>
      <c r="J60" s="21"/>
      <c r="K60" s="21"/>
      <c r="L60" s="21"/>
      <c r="M60" s="21"/>
      <c r="N60" s="21"/>
    </row>
    <row r="61" spans="1:18" ht="12.5" hidden="1" x14ac:dyDescent="0.25">
      <c r="A61" s="151" t="s">
        <v>64</v>
      </c>
      <c r="B61" s="9"/>
      <c r="C61" s="15"/>
      <c r="D61" s="9"/>
      <c r="E61" s="138" t="s">
        <v>64</v>
      </c>
      <c r="F61" s="15"/>
      <c r="G61" s="138" t="s">
        <v>64</v>
      </c>
      <c r="H61" s="15"/>
      <c r="J61" s="21"/>
      <c r="K61" s="21"/>
      <c r="L61" s="21"/>
      <c r="M61" s="21"/>
      <c r="N61" s="21"/>
    </row>
    <row r="62" spans="1:18" ht="12.5" hidden="1" x14ac:dyDescent="0.25">
      <c r="A62" s="151" t="s">
        <v>64</v>
      </c>
      <c r="B62" s="9"/>
      <c r="C62" s="15"/>
      <c r="D62" s="9"/>
      <c r="E62" s="138" t="s">
        <v>64</v>
      </c>
      <c r="F62" s="15"/>
      <c r="G62" s="138" t="s">
        <v>64</v>
      </c>
      <c r="H62" s="15"/>
      <c r="J62" s="21"/>
      <c r="K62" s="21"/>
      <c r="L62" s="21"/>
      <c r="M62" s="21"/>
      <c r="N62" s="21"/>
    </row>
    <row r="63" spans="1:18" ht="12.5" hidden="1" x14ac:dyDescent="0.25">
      <c r="A63" s="151" t="s">
        <v>64</v>
      </c>
      <c r="B63" s="9"/>
      <c r="C63" s="15"/>
      <c r="D63" s="9"/>
      <c r="E63" s="138" t="s">
        <v>64</v>
      </c>
      <c r="F63" s="15"/>
      <c r="G63" s="138" t="s">
        <v>64</v>
      </c>
      <c r="H63" s="15"/>
      <c r="J63" s="21"/>
      <c r="K63" s="21"/>
      <c r="L63" s="21"/>
      <c r="M63" s="21"/>
      <c r="N63" s="21"/>
    </row>
    <row r="64" spans="1:18" ht="12.5" hidden="1" x14ac:dyDescent="0.25">
      <c r="A64" s="151" t="s">
        <v>64</v>
      </c>
      <c r="B64" s="9"/>
      <c r="C64" s="15"/>
      <c r="D64" s="9"/>
      <c r="E64" s="138" t="s">
        <v>64</v>
      </c>
      <c r="F64" s="15"/>
      <c r="G64" s="138" t="s">
        <v>64</v>
      </c>
      <c r="H64" s="15"/>
      <c r="J64" s="21"/>
      <c r="K64" s="21"/>
      <c r="L64" s="21"/>
      <c r="M64" s="21"/>
      <c r="N64" s="21"/>
    </row>
    <row r="65" spans="1:14" ht="12.5" hidden="1" x14ac:dyDescent="0.25">
      <c r="A65" s="151" t="s">
        <v>64</v>
      </c>
      <c r="B65" s="9"/>
      <c r="C65" s="15"/>
      <c r="D65" s="9"/>
      <c r="E65" s="138" t="s">
        <v>64</v>
      </c>
      <c r="F65" s="15"/>
      <c r="G65" s="138" t="s">
        <v>64</v>
      </c>
      <c r="H65" s="15"/>
      <c r="J65" s="21"/>
      <c r="K65" s="21"/>
      <c r="L65" s="21"/>
      <c r="M65" s="21"/>
      <c r="N65" s="21"/>
    </row>
    <row r="66" spans="1:14" ht="12.5" hidden="1" x14ac:dyDescent="0.25">
      <c r="A66" s="151" t="s">
        <v>64</v>
      </c>
      <c r="B66" s="9"/>
      <c r="C66" s="15"/>
      <c r="D66" s="9"/>
      <c r="E66" s="138" t="s">
        <v>64</v>
      </c>
      <c r="F66" s="15"/>
      <c r="G66" s="138" t="s">
        <v>64</v>
      </c>
      <c r="H66" s="15"/>
      <c r="J66" s="21"/>
      <c r="K66" s="21"/>
      <c r="L66" s="21"/>
      <c r="M66" s="21"/>
      <c r="N66" s="21"/>
    </row>
    <row r="67" spans="1:14" ht="12.5" hidden="1" x14ac:dyDescent="0.25">
      <c r="A67" s="151" t="s">
        <v>64</v>
      </c>
      <c r="B67" s="9"/>
      <c r="C67" s="15"/>
      <c r="D67" s="9"/>
      <c r="E67" s="138" t="s">
        <v>64</v>
      </c>
      <c r="F67" s="15"/>
      <c r="G67" s="138" t="s">
        <v>64</v>
      </c>
      <c r="H67" s="15"/>
      <c r="J67" s="21"/>
      <c r="K67" s="21"/>
      <c r="L67" s="21"/>
      <c r="M67" s="21"/>
      <c r="N67" s="21"/>
    </row>
    <row r="68" spans="1:14" ht="12.5" hidden="1" x14ac:dyDescent="0.25">
      <c r="A68" s="151" t="s">
        <v>64</v>
      </c>
      <c r="B68" s="9"/>
      <c r="C68" s="15"/>
      <c r="D68" s="9"/>
      <c r="E68" s="138" t="s">
        <v>64</v>
      </c>
      <c r="F68" s="15"/>
      <c r="G68" s="138" t="s">
        <v>64</v>
      </c>
      <c r="H68" s="15"/>
      <c r="J68" s="21"/>
      <c r="K68" s="21"/>
      <c r="L68" s="21"/>
      <c r="M68" s="21"/>
      <c r="N68" s="21"/>
    </row>
    <row r="69" spans="1:14" ht="12.5" hidden="1" x14ac:dyDescent="0.25">
      <c r="A69" s="151" t="s">
        <v>64</v>
      </c>
      <c r="B69" s="9"/>
      <c r="C69" s="15"/>
      <c r="D69" s="9"/>
      <c r="E69" s="138" t="s">
        <v>64</v>
      </c>
      <c r="F69" s="15"/>
      <c r="G69" s="138" t="s">
        <v>64</v>
      </c>
      <c r="H69" s="15"/>
      <c r="J69" s="21"/>
      <c r="K69" s="21"/>
      <c r="L69" s="21"/>
      <c r="M69" s="21"/>
      <c r="N69" s="21"/>
    </row>
    <row r="70" spans="1:14" ht="12.5" hidden="1" x14ac:dyDescent="0.25">
      <c r="A70" s="151" t="s">
        <v>64</v>
      </c>
      <c r="B70" s="9"/>
      <c r="C70" s="15"/>
      <c r="D70" s="9"/>
      <c r="E70" s="138" t="s">
        <v>64</v>
      </c>
      <c r="F70" s="15"/>
      <c r="G70" s="138" t="s">
        <v>64</v>
      </c>
      <c r="H70" s="15"/>
      <c r="J70" s="21"/>
      <c r="K70" s="21"/>
      <c r="L70" s="21"/>
      <c r="M70" s="21"/>
      <c r="N70" s="21"/>
    </row>
    <row r="71" spans="1:14" ht="12.5" hidden="1" x14ac:dyDescent="0.25">
      <c r="A71" s="151" t="s">
        <v>64</v>
      </c>
      <c r="B71" s="9"/>
      <c r="C71" s="15"/>
      <c r="D71" s="9"/>
      <c r="E71" s="138" t="s">
        <v>64</v>
      </c>
      <c r="F71" s="15"/>
      <c r="G71" s="138" t="s">
        <v>64</v>
      </c>
      <c r="H71" s="15"/>
      <c r="J71" s="21"/>
      <c r="K71" s="21"/>
      <c r="L71" s="21"/>
      <c r="M71" s="21"/>
      <c r="N71" s="21"/>
    </row>
    <row r="72" spans="1:14" ht="12.5" hidden="1" x14ac:dyDescent="0.25">
      <c r="A72" s="151" t="s">
        <v>64</v>
      </c>
      <c r="B72" s="9"/>
      <c r="C72" s="15"/>
      <c r="D72" s="9"/>
      <c r="E72" s="138" t="s">
        <v>64</v>
      </c>
      <c r="F72" s="15"/>
      <c r="G72" s="138" t="s">
        <v>64</v>
      </c>
      <c r="H72" s="15"/>
      <c r="J72" s="21"/>
      <c r="K72" s="21"/>
      <c r="L72" s="21"/>
      <c r="M72" s="21"/>
      <c r="N72" s="21"/>
    </row>
    <row r="73" spans="1:14" ht="12.5" hidden="1" x14ac:dyDescent="0.25">
      <c r="A73" s="151" t="s">
        <v>64</v>
      </c>
      <c r="B73" s="9"/>
      <c r="C73" s="15"/>
      <c r="D73" s="9"/>
      <c r="E73" s="138" t="s">
        <v>64</v>
      </c>
      <c r="F73" s="15"/>
      <c r="G73" s="138" t="s">
        <v>64</v>
      </c>
      <c r="H73" s="15"/>
      <c r="J73" s="21"/>
      <c r="K73" s="21"/>
      <c r="L73" s="21"/>
      <c r="M73" s="21"/>
      <c r="N73" s="21"/>
    </row>
    <row r="74" spans="1:14" ht="12.5" hidden="1" x14ac:dyDescent="0.25">
      <c r="A74" s="151" t="s">
        <v>64</v>
      </c>
      <c r="B74" s="9"/>
      <c r="C74" s="15"/>
      <c r="D74" s="9"/>
      <c r="E74" s="138" t="s">
        <v>64</v>
      </c>
      <c r="F74" s="15"/>
      <c r="G74" s="138" t="s">
        <v>64</v>
      </c>
      <c r="H74" s="15"/>
      <c r="J74" s="21"/>
      <c r="K74" s="21"/>
      <c r="L74" s="21"/>
      <c r="M74" s="21"/>
      <c r="N74" s="21"/>
    </row>
    <row r="75" spans="1:14" ht="12.5" hidden="1" x14ac:dyDescent="0.25">
      <c r="A75" s="151" t="s">
        <v>64</v>
      </c>
      <c r="B75" s="9"/>
      <c r="C75" s="15"/>
      <c r="D75" s="9"/>
      <c r="E75" s="138" t="s">
        <v>64</v>
      </c>
      <c r="F75" s="15"/>
      <c r="G75" s="138" t="s">
        <v>64</v>
      </c>
      <c r="H75" s="15"/>
      <c r="J75" s="21"/>
      <c r="K75" s="21"/>
      <c r="L75" s="21"/>
      <c r="M75" s="21"/>
      <c r="N75" s="21"/>
    </row>
    <row r="76" spans="1:14" ht="12.5" hidden="1" x14ac:dyDescent="0.25">
      <c r="A76" s="151" t="s">
        <v>64</v>
      </c>
      <c r="B76" s="9"/>
      <c r="C76" s="15"/>
      <c r="D76" s="9"/>
      <c r="E76" s="138" t="s">
        <v>64</v>
      </c>
      <c r="F76" s="15"/>
      <c r="G76" s="138" t="s">
        <v>64</v>
      </c>
      <c r="H76" s="15"/>
      <c r="J76" s="21"/>
      <c r="K76" s="21"/>
      <c r="L76" s="21"/>
      <c r="M76" s="21"/>
      <c r="N76" s="21"/>
    </row>
    <row r="77" spans="1:14" ht="12.5" hidden="1" x14ac:dyDescent="0.25">
      <c r="A77" s="151" t="s">
        <v>64</v>
      </c>
      <c r="B77" s="9"/>
      <c r="C77" s="15"/>
      <c r="D77" s="9"/>
      <c r="E77" s="138" t="s">
        <v>64</v>
      </c>
      <c r="F77" s="15"/>
      <c r="G77" s="138" t="s">
        <v>64</v>
      </c>
      <c r="H77" s="15"/>
      <c r="J77" s="21"/>
      <c r="K77" s="21"/>
      <c r="L77" s="21"/>
      <c r="M77" s="21"/>
      <c r="N77" s="21"/>
    </row>
    <row r="78" spans="1:14" ht="12.5" hidden="1" x14ac:dyDescent="0.25">
      <c r="A78" s="151" t="s">
        <v>64</v>
      </c>
      <c r="B78" s="9"/>
      <c r="C78" s="15"/>
      <c r="D78" s="9"/>
      <c r="E78" s="138" t="s">
        <v>64</v>
      </c>
      <c r="F78" s="15"/>
      <c r="G78" s="138" t="s">
        <v>64</v>
      </c>
      <c r="H78" s="15"/>
      <c r="J78" s="21"/>
      <c r="K78" s="21"/>
      <c r="L78" s="21"/>
      <c r="M78" s="21"/>
      <c r="N78" s="21"/>
    </row>
    <row r="79" spans="1:14" ht="12.5" hidden="1" x14ac:dyDescent="0.25">
      <c r="A79" s="151" t="s">
        <v>64</v>
      </c>
      <c r="B79" s="9"/>
      <c r="C79" s="15"/>
      <c r="D79" s="9"/>
      <c r="E79" s="138" t="s">
        <v>64</v>
      </c>
      <c r="F79" s="15"/>
      <c r="G79" s="138" t="s">
        <v>64</v>
      </c>
      <c r="H79" s="15"/>
      <c r="J79" s="21"/>
      <c r="K79" s="21"/>
      <c r="L79" s="21"/>
      <c r="M79" s="21"/>
      <c r="N79" s="21"/>
    </row>
    <row r="80" spans="1:14" ht="12.5" hidden="1" x14ac:dyDescent="0.25">
      <c r="A80" s="151" t="s">
        <v>64</v>
      </c>
      <c r="B80" s="9"/>
      <c r="C80" s="15"/>
      <c r="D80" s="9"/>
      <c r="E80" s="138" t="s">
        <v>64</v>
      </c>
      <c r="F80" s="15"/>
      <c r="G80" s="138" t="s">
        <v>64</v>
      </c>
      <c r="H80" s="15"/>
      <c r="J80" s="21"/>
      <c r="K80" s="21"/>
      <c r="L80" s="21"/>
      <c r="M80" s="21"/>
      <c r="N80" s="21"/>
    </row>
    <row r="81" spans="1:14" ht="12.5" hidden="1" x14ac:dyDescent="0.25">
      <c r="A81" s="151" t="s">
        <v>64</v>
      </c>
      <c r="B81" s="9"/>
      <c r="C81" s="15"/>
      <c r="D81" s="9"/>
      <c r="E81" s="138" t="s">
        <v>64</v>
      </c>
      <c r="F81" s="15"/>
      <c r="G81" s="138" t="s">
        <v>64</v>
      </c>
      <c r="H81" s="15"/>
      <c r="J81" s="21"/>
      <c r="K81" s="21"/>
      <c r="L81" s="21"/>
      <c r="M81" s="21"/>
      <c r="N81" s="21"/>
    </row>
    <row r="82" spans="1:14" ht="13" thickBot="1" x14ac:dyDescent="0.3">
      <c r="A82" s="151" t="s">
        <v>64</v>
      </c>
      <c r="B82" s="9"/>
      <c r="C82" s="15"/>
      <c r="D82" s="9"/>
      <c r="E82" s="139" t="s">
        <v>71</v>
      </c>
      <c r="F82" s="140">
        <f>G38-SUM(F49:F81)</f>
        <v>0</v>
      </c>
      <c r="G82" s="139" t="s">
        <v>71</v>
      </c>
      <c r="H82" s="140">
        <f>G39-SUM(H49:H81)</f>
        <v>0</v>
      </c>
      <c r="J82" s="21"/>
      <c r="K82" s="21"/>
      <c r="L82" s="21"/>
      <c r="M82" s="21"/>
      <c r="N82" s="21"/>
    </row>
    <row r="83" spans="1:14" ht="13" thickBot="1" x14ac:dyDescent="0.3">
      <c r="A83" s="151" t="s">
        <v>64</v>
      </c>
      <c r="B83" s="9"/>
      <c r="C83" s="15"/>
      <c r="D83" s="9"/>
      <c r="E83" s="154" t="s">
        <v>21</v>
      </c>
      <c r="F83" s="76">
        <f>SUM(F49:F82)</f>
        <v>0</v>
      </c>
      <c r="G83" s="154" t="s">
        <v>21</v>
      </c>
      <c r="H83" s="76">
        <f>SUM(H49:H82)</f>
        <v>0</v>
      </c>
      <c r="J83" s="21"/>
      <c r="K83" s="21"/>
      <c r="L83" s="21"/>
      <c r="M83" s="21"/>
      <c r="N83" s="21"/>
    </row>
    <row r="84" spans="1:14" ht="13" thickBot="1" x14ac:dyDescent="0.3">
      <c r="A84" s="8" t="s">
        <v>70</v>
      </c>
      <c r="B84" s="9"/>
      <c r="C84" s="10">
        <f>IFERROR(IF(G31&gt;0,ROUND(Q47-SUM(C38:C83)-S35,0),ROUND(Q47-G40/SUM(Q45:Q47)*Q47-SUM(C38:C83),0)),0)</f>
        <v>0</v>
      </c>
      <c r="D84" s="9"/>
      <c r="E84" s="18"/>
      <c r="F84" s="18"/>
      <c r="G84" s="9"/>
      <c r="H84" s="9"/>
      <c r="J84" s="21"/>
      <c r="K84" s="21"/>
      <c r="L84" s="21"/>
      <c r="M84" s="21"/>
      <c r="N84" s="21"/>
    </row>
    <row r="85" spans="1:14" ht="13" thickBot="1" x14ac:dyDescent="0.3">
      <c r="A85" s="13" t="s">
        <v>72</v>
      </c>
      <c r="B85" s="9"/>
      <c r="C85" s="14">
        <f>SUM(C38:C84)</f>
        <v>0</v>
      </c>
      <c r="D85" s="9"/>
      <c r="E85" s="18"/>
      <c r="F85" s="18"/>
      <c r="G85" s="9"/>
      <c r="H85" s="9"/>
      <c r="J85" s="21"/>
      <c r="K85" s="21"/>
      <c r="L85" s="21"/>
      <c r="M85" s="21"/>
      <c r="N85" s="21"/>
    </row>
    <row r="86" spans="1:14" ht="12.5" x14ac:dyDescent="0.25">
      <c r="A86" s="9"/>
      <c r="B86" s="9"/>
      <c r="C86" s="9"/>
      <c r="D86" s="9"/>
      <c r="E86" s="18"/>
      <c r="F86" s="18"/>
      <c r="G86" s="9"/>
      <c r="H86" s="9"/>
      <c r="J86" s="21"/>
      <c r="K86" s="21"/>
      <c r="L86" s="21"/>
      <c r="M86" s="21"/>
      <c r="N86" s="21"/>
    </row>
  </sheetData>
  <sheetProtection algorithmName="SHA-512" hashValue="ucAo2llL/CaV2gp4uBZJOfG2tQKHf6g2ayVJ3tvpmgpTZb/bpbG18w4EM5OQIo5Do+rpZgsT6eaChwqNeUl+5A==" saltValue="aVm3Rz3VAKUdxaknFjvXXQ==" spinCount="100000" sheet="1" objects="1" scenarios="1" formatColumns="0" formatRows="0" insertColumns="0" insertRows="0" selectLockedCells="1"/>
  <mergeCells count="30">
    <mergeCell ref="D45:H46"/>
    <mergeCell ref="E47:H47"/>
    <mergeCell ref="J25:N27"/>
    <mergeCell ref="J39:N44"/>
    <mergeCell ref="C35:D35"/>
    <mergeCell ref="E43:F44"/>
    <mergeCell ref="J29:N30"/>
    <mergeCell ref="C30:D30"/>
    <mergeCell ref="C31:D31"/>
    <mergeCell ref="C32:D32"/>
    <mergeCell ref="E32:H32"/>
    <mergeCell ref="J32:N33"/>
    <mergeCell ref="C33:D33"/>
    <mergeCell ref="J15:N16"/>
    <mergeCell ref="J18:N18"/>
    <mergeCell ref="J21:N24"/>
    <mergeCell ref="B8:H8"/>
    <mergeCell ref="A11:C12"/>
    <mergeCell ref="D11:D12"/>
    <mergeCell ref="E11:F12"/>
    <mergeCell ref="J11:N13"/>
    <mergeCell ref="B13:D14"/>
    <mergeCell ref="E13:F14"/>
    <mergeCell ref="B19:C19"/>
    <mergeCell ref="B7:D7"/>
    <mergeCell ref="D2:E2"/>
    <mergeCell ref="B5:D5"/>
    <mergeCell ref="F5:G5"/>
    <mergeCell ref="B6:D6"/>
    <mergeCell ref="F6:G6"/>
  </mergeCells>
  <conditionalFormatting sqref="G30">
    <cfRule type="cellIs" dxfId="14" priority="13" operator="equal">
      <formula>$C$30&lt;&gt;"Ja"</formula>
    </cfRule>
    <cfRule type="cellIs" dxfId="13" priority="14" operator="between">
      <formula>1</formula>
      <formula>1300</formula>
    </cfRule>
  </conditionalFormatting>
  <conditionalFormatting sqref="G31">
    <cfRule type="cellIs" dxfId="12" priority="10" operator="equal">
      <formula>$C$31&lt;&gt;"Ja"</formula>
    </cfRule>
    <cfRule type="cellIs" dxfId="11" priority="11" operator="between">
      <formula>0.1</formula>
      <formula>1</formula>
    </cfRule>
  </conditionalFormatting>
  <conditionalFormatting sqref="C34">
    <cfRule type="cellIs" dxfId="10" priority="15" operator="between">
      <formula>1</formula>
      <formula>341</formula>
    </cfRule>
    <cfRule type="cellIs" dxfId="9" priority="16" operator="equal">
      <formula>$A$34&lt;&gt;"Aantal uur verlof"</formula>
    </cfRule>
  </conditionalFormatting>
  <conditionalFormatting sqref="C33:D33">
    <cfRule type="containsText" dxfId="8" priority="8" operator="containsText" text="e">
      <formula>NOT(ISERROR(SEARCH("e",C33)))</formula>
    </cfRule>
    <cfRule type="cellIs" dxfId="7" priority="9" operator="equal">
      <formula>$A$33&lt;&gt;"Recht duurzame inzetbaarheid"</formula>
    </cfRule>
  </conditionalFormatting>
  <conditionalFormatting sqref="G35">
    <cfRule type="cellIs" dxfId="6" priority="6" operator="equal">
      <formula>$F$30&lt;&gt;"Werktijdfactor verlof"</formula>
    </cfRule>
  </conditionalFormatting>
  <conditionalFormatting sqref="E34:G34">
    <cfRule type="cellIs" dxfId="5" priority="7" operator="between">
      <formula>0.0001</formula>
      <formula>99999</formula>
    </cfRule>
  </conditionalFormatting>
  <conditionalFormatting sqref="E34:G34">
    <cfRule type="cellIs" dxfId="4" priority="5" operator="equal">
      <formula>$F$30&lt;&gt;"Werktijdfactor verlof"</formula>
    </cfRule>
  </conditionalFormatting>
  <conditionalFormatting sqref="E13:F14">
    <cfRule type="containsText" dxfId="3" priority="3" operator="containsText" text="u">
      <formula>NOT(ISERROR(SEARCH("u",E13)))</formula>
    </cfRule>
    <cfRule type="cellIs" dxfId="2" priority="4" operator="equal">
      <formula>$A$34&lt;&gt;"Aantal uur verlof"</formula>
    </cfRule>
  </conditionalFormatting>
  <conditionalFormatting sqref="H82">
    <cfRule type="cellIs" dxfId="1" priority="2" operator="lessThan">
      <formula>0</formula>
    </cfRule>
  </conditionalFormatting>
  <conditionalFormatting sqref="F82">
    <cfRule type="cellIs" dxfId="0" priority="1" operator="lessThan">
      <formula>0</formula>
    </cfRule>
  </conditionalFormatting>
  <dataValidations count="4">
    <dataValidation allowBlank="1" showInputMessage="1" showErrorMessage="1" errorTitle="Ongeldige invoer" error="Het ingevulde aantal uur verlof overstijgt het totaal aantal lesuren. Kies voor een lager aantal uur verlof." sqref="E34:G34" xr:uid="{00000000-0002-0000-0500-000000000000}"/>
    <dataValidation type="decimal" errorStyle="warning" operator="equal" allowBlank="1" showInputMessage="1" showErrorMessage="1" errorTitle="Let op" error="Het aantal lesuren van deze werknemer wijkt af van het ingevoerde schoolbrede aantal" sqref="C21:C25" xr:uid="{00000000-0002-0000-0500-000001000000}">
      <formula1>B21</formula1>
    </dataValidation>
    <dataValidation type="list" allowBlank="1" showInputMessage="1" showErrorMessage="1" sqref="C30:C31" xr:uid="{00000000-0002-0000-0500-000002000000}">
      <formula1>"Ja,Nee"</formula1>
    </dataValidation>
    <dataValidation type="list" allowBlank="1" showInputMessage="1" showErrorMessage="1" sqref="C33:D33" xr:uid="{00000000-0002-0000-0500-000003000000}">
      <formula1>$Q$22:$Q$24</formula1>
    </dataValidation>
  </dataValidation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8A913A466450845B6795B1C77D500C7" ma:contentTypeVersion="13" ma:contentTypeDescription="Create a new document." ma:contentTypeScope="" ma:versionID="2c17040f462283b513c7826213029e49">
  <xsd:schema xmlns:xsd="http://www.w3.org/2001/XMLSchema" xmlns:xs="http://www.w3.org/2001/XMLSchema" xmlns:p="http://schemas.microsoft.com/office/2006/metadata/properties" xmlns:ns2="31e44fad-646f-4ba1-8bb8-8f5d6d25722e" xmlns:ns3="61c19477-f1f6-410c-97a0-cddd4b4d687f" targetNamespace="http://schemas.microsoft.com/office/2006/metadata/properties" ma:root="true" ma:fieldsID="8b9a42cecd4c05d85d87291eda5e0aff" ns2:_="" ns3:_="">
    <xsd:import namespace="31e44fad-646f-4ba1-8bb8-8f5d6d25722e"/>
    <xsd:import namespace="61c19477-f1f6-410c-97a0-cddd4b4d687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e44fad-646f-4ba1-8bb8-8f5d6d257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1c19477-f1f6-410c-97a0-cddd4b4d687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7E5C97-5E99-457D-821D-3E315314780D}">
  <ds:schemaRefs>
    <ds:schemaRef ds:uri="http://schemas.microsoft.com/sharepoint/v3/contenttype/forms"/>
  </ds:schemaRefs>
</ds:datastoreItem>
</file>

<file path=customXml/itemProps2.xml><?xml version="1.0" encoding="utf-8"?>
<ds:datastoreItem xmlns:ds="http://schemas.openxmlformats.org/officeDocument/2006/customXml" ds:itemID="{1120060B-9905-4042-9E8B-493F7955944D}">
  <ds:schemaRefs>
    <ds:schemaRef ds:uri="http://purl.org/dc/elements/1.1/"/>
    <ds:schemaRef ds:uri="61c19477-f1f6-410c-97a0-cddd4b4d687f"/>
    <ds:schemaRef ds:uri="http://www.w3.org/XML/1998/namespace"/>
    <ds:schemaRef ds:uri="http://schemas.microsoft.com/office/infopath/2007/PartnerControls"/>
    <ds:schemaRef ds:uri="http://purl.org/dc/terms/"/>
    <ds:schemaRef ds:uri="http://schemas.microsoft.com/office/2006/metadata/properties"/>
    <ds:schemaRef ds:uri="http://schemas.microsoft.com/office/2006/documentManagement/types"/>
    <ds:schemaRef ds:uri="31e44fad-646f-4ba1-8bb8-8f5d6d25722e"/>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2FFCE229-E35B-48B3-86EF-C48B7F77C9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e44fad-646f-4ba1-8bb8-8f5d6d25722e"/>
    <ds:schemaRef ds:uri="61c19477-f1f6-410c-97a0-cddd4b4d68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2</vt:i4>
      </vt:variant>
    </vt:vector>
  </HeadingPairs>
  <TitlesOfParts>
    <vt:vector size="8" baseType="lpstr">
      <vt:lpstr>wtf OP, obv lesuren</vt:lpstr>
      <vt:lpstr>wtf OP, obv dagdelen onderbouw</vt:lpstr>
      <vt:lpstr>wtf OP, obv dagdelen bovenbouw</vt:lpstr>
      <vt:lpstr>wtf OOP</vt:lpstr>
      <vt:lpstr>wtf leerkracht huidig</vt:lpstr>
      <vt:lpstr>wtf OOP huidig</vt:lpstr>
      <vt:lpstr>'wtf leerkracht huidig'!Afdrukbereik</vt:lpstr>
      <vt:lpstr>'wtf OP, obv lesuren'!Afdrukbereik</vt:lpstr>
    </vt:vector>
  </TitlesOfParts>
  <Manager/>
  <Company>VGS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Sander den Hartog</dc:creator>
  <cp:keywords/>
  <dc:description/>
  <cp:lastModifiedBy>Sander den Hartog</cp:lastModifiedBy>
  <cp:revision/>
  <dcterms:created xsi:type="dcterms:W3CDTF">2014-12-09T15:05:40Z</dcterms:created>
  <dcterms:modified xsi:type="dcterms:W3CDTF">2023-02-06T14:32:01Z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0x01010008A913A466450845B6795B1C77D500C7</vt:lpwstr>
  </property>
</Properties>
</file>